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xr:revisionPtr revIDLastSave="0" documentId="8_{B8A2D8D3-5CCC-444B-925F-3709AEB458A3}" xr6:coauthVersionLast="36" xr6:coauthVersionMax="36" xr10:uidLastSave="{00000000-0000-0000-0000-000000000000}"/>
  <bookViews>
    <workbookView xWindow="120" yWindow="110" windowWidth="28620" windowHeight="11650" xr2:uid="{00000000-000D-0000-FFFF-FFFF00000000}"/>
  </bookViews>
  <sheets>
    <sheet name="dead time 65mOhm" sheetId="1" r:id="rId1"/>
  </sheets>
  <externalReferences>
    <externalReference r:id="rId2"/>
  </externalReferences>
  <definedNames>
    <definedName name="valid_types">'[1]Compensator Calc'!$BA$10:$BA$12</definedName>
  </definedNames>
  <calcPr calcId="191029"/>
</workbook>
</file>

<file path=xl/calcChain.xml><?xml version="1.0" encoding="utf-8"?>
<calcChain xmlns="http://schemas.openxmlformats.org/spreadsheetml/2006/main">
  <c r="AA58" i="1" l="1"/>
  <c r="AA59" i="1" s="1"/>
  <c r="Z58" i="1"/>
  <c r="Z59" i="1" s="1"/>
  <c r="Y58" i="1"/>
  <c r="Y59" i="1" s="1"/>
  <c r="AC53" i="1"/>
  <c r="AA53" i="1"/>
  <c r="AB53" i="1" s="1"/>
  <c r="AC52" i="1"/>
  <c r="AA52" i="1"/>
  <c r="AB52" i="1" s="1"/>
  <c r="AC51" i="1"/>
  <c r="AA51" i="1"/>
  <c r="AB51" i="1" s="1"/>
  <c r="AC50" i="1"/>
  <c r="AA50" i="1"/>
  <c r="AB50" i="1" s="1"/>
  <c r="AC49" i="1"/>
  <c r="AA49" i="1"/>
  <c r="AB49" i="1" s="1"/>
  <c r="AC48" i="1"/>
  <c r="AA48" i="1"/>
  <c r="AB48" i="1" s="1"/>
  <c r="H48" i="1"/>
  <c r="AC47" i="1"/>
  <c r="AA47" i="1"/>
  <c r="AB47" i="1" s="1"/>
  <c r="AC46" i="1"/>
  <c r="AA46" i="1"/>
  <c r="AB46" i="1" s="1"/>
  <c r="AC45" i="1"/>
  <c r="AA45" i="1"/>
  <c r="AB45" i="1" s="1"/>
  <c r="AC44" i="1"/>
  <c r="AA44" i="1"/>
  <c r="AB44" i="1" s="1"/>
  <c r="AC43" i="1"/>
  <c r="AA43" i="1"/>
  <c r="AB43" i="1" s="1"/>
  <c r="AC42" i="1"/>
  <c r="AA42" i="1"/>
  <c r="AB42" i="1" s="1"/>
  <c r="H42" i="1"/>
  <c r="H43" i="1" s="1"/>
  <c r="AC41" i="1"/>
  <c r="AB41" i="1"/>
  <c r="AA41" i="1"/>
  <c r="AC40" i="1"/>
  <c r="AB40" i="1"/>
  <c r="AA40" i="1"/>
  <c r="M40" i="1"/>
  <c r="AC39" i="1"/>
  <c r="AB39" i="1"/>
  <c r="AA39" i="1"/>
  <c r="M39" i="1"/>
  <c r="AC38" i="1"/>
  <c r="AA38" i="1"/>
  <c r="AB38" i="1" s="1"/>
  <c r="N38" i="1"/>
  <c r="O38" i="1" s="1"/>
  <c r="P38" i="1" s="1"/>
  <c r="M38" i="1"/>
  <c r="AC37" i="1"/>
  <c r="AA37" i="1"/>
  <c r="AB37" i="1" s="1"/>
  <c r="M37" i="1"/>
  <c r="N37" i="1" s="1"/>
  <c r="O37" i="1" s="1"/>
  <c r="P37" i="1" s="1"/>
  <c r="AC36" i="1"/>
  <c r="AB36" i="1"/>
  <c r="AA36" i="1"/>
  <c r="M36" i="1"/>
  <c r="N36" i="1" s="1"/>
  <c r="O36" i="1" s="1"/>
  <c r="P36" i="1" s="1"/>
  <c r="AC35" i="1"/>
  <c r="AA35" i="1"/>
  <c r="AB35" i="1" s="1"/>
  <c r="N35" i="1"/>
  <c r="O35" i="1" s="1"/>
  <c r="P35" i="1" s="1"/>
  <c r="M35" i="1"/>
  <c r="AC34" i="1"/>
  <c r="AB34" i="1"/>
  <c r="AA34" i="1"/>
  <c r="M34" i="1"/>
  <c r="N34" i="1" s="1"/>
  <c r="O34" i="1" s="1"/>
  <c r="P34" i="1" s="1"/>
  <c r="AC33" i="1"/>
  <c r="AA33" i="1"/>
  <c r="AB33" i="1" s="1"/>
  <c r="N33" i="1"/>
  <c r="O33" i="1" s="1"/>
  <c r="P33" i="1" s="1"/>
  <c r="M33" i="1"/>
  <c r="AC32" i="1"/>
  <c r="AB32" i="1"/>
  <c r="AA32" i="1"/>
  <c r="M32" i="1"/>
  <c r="N32" i="1" s="1"/>
  <c r="O32" i="1" s="1"/>
  <c r="P32" i="1" s="1"/>
  <c r="AC31" i="1"/>
  <c r="AB31" i="1"/>
  <c r="AA31" i="1"/>
  <c r="N31" i="1"/>
  <c r="M31" i="1"/>
  <c r="AC30" i="1"/>
  <c r="AA30" i="1"/>
  <c r="AB30" i="1" s="1"/>
  <c r="N30" i="1"/>
  <c r="O30" i="1" s="1"/>
  <c r="P30" i="1" s="1"/>
  <c r="M30" i="1"/>
  <c r="AC29" i="1"/>
  <c r="AA29" i="1"/>
  <c r="AB29" i="1" s="1"/>
  <c r="M29" i="1"/>
  <c r="N29" i="1" s="1"/>
  <c r="O29" i="1" s="1"/>
  <c r="P29" i="1" s="1"/>
  <c r="AC28" i="1"/>
  <c r="AB28" i="1"/>
  <c r="AA28" i="1"/>
  <c r="M28" i="1"/>
  <c r="AC27" i="1"/>
  <c r="AA27" i="1"/>
  <c r="AB27" i="1" s="1"/>
  <c r="N27" i="1"/>
  <c r="O27" i="1" s="1"/>
  <c r="P27" i="1" s="1"/>
  <c r="M27" i="1"/>
  <c r="AC26" i="1"/>
  <c r="AB26" i="1"/>
  <c r="AA26" i="1"/>
  <c r="M26" i="1"/>
  <c r="N26" i="1" s="1"/>
  <c r="O26" i="1" s="1"/>
  <c r="P26" i="1" s="1"/>
  <c r="AC25" i="1"/>
  <c r="AA25" i="1"/>
  <c r="AB25" i="1" s="1"/>
  <c r="N25" i="1"/>
  <c r="O25" i="1" s="1"/>
  <c r="P25" i="1" s="1"/>
  <c r="M25" i="1"/>
  <c r="AC24" i="1"/>
  <c r="AB24" i="1"/>
  <c r="AA24" i="1"/>
  <c r="M24" i="1"/>
  <c r="N24" i="1" s="1"/>
  <c r="O24" i="1" s="1"/>
  <c r="P24" i="1" s="1"/>
  <c r="AC23" i="1"/>
  <c r="AB23" i="1"/>
  <c r="AA23" i="1"/>
  <c r="N23" i="1"/>
  <c r="M23" i="1"/>
  <c r="AA22" i="1"/>
  <c r="AB22" i="1" s="1"/>
  <c r="N22" i="1"/>
  <c r="O22" i="1" s="1"/>
  <c r="M22" i="1"/>
  <c r="AB21" i="1"/>
  <c r="AA21" i="1"/>
  <c r="AC20" i="1"/>
  <c r="AA20" i="1"/>
  <c r="AB20" i="1" s="1"/>
  <c r="AC19" i="1"/>
  <c r="AA19" i="1"/>
  <c r="AB19" i="1" s="1"/>
  <c r="AB18" i="1"/>
  <c r="AA18" i="1"/>
  <c r="AN17" i="1"/>
  <c r="AI17" i="1"/>
  <c r="AQ17" i="1" s="1"/>
  <c r="AQ16" i="1" s="1"/>
  <c r="AB17" i="1"/>
  <c r="AA17" i="1"/>
  <c r="AN16" i="1"/>
  <c r="AC16" i="1"/>
  <c r="AB16" i="1"/>
  <c r="AA16" i="1"/>
  <c r="AN15" i="1"/>
  <c r="AA15" i="1"/>
  <c r="AB15" i="1" s="1"/>
  <c r="H15" i="1"/>
  <c r="AQ14" i="1"/>
  <c r="AN14" i="1"/>
  <c r="AC14" i="1"/>
  <c r="AA14" i="1"/>
  <c r="AB14" i="1" s="1"/>
  <c r="H14" i="1"/>
  <c r="AR13" i="1"/>
  <c r="AQ13" i="1"/>
  <c r="AC18" i="1" s="1"/>
  <c r="AN13" i="1"/>
  <c r="AC13" i="1"/>
  <c r="AA13" i="1"/>
  <c r="AB13" i="1" s="1"/>
  <c r="H11" i="1"/>
  <c r="J10" i="1"/>
  <c r="J9" i="1"/>
  <c r="H9" i="1"/>
  <c r="J8" i="1"/>
  <c r="H8" i="1"/>
  <c r="Y47" i="1" s="1"/>
  <c r="Z7" i="1"/>
  <c r="AC21" i="1" l="1"/>
  <c r="AR16" i="1"/>
  <c r="AC22" i="1"/>
  <c r="H18" i="1"/>
  <c r="Q32" i="1"/>
  <c r="Q38" i="1"/>
  <c r="I49" i="1"/>
  <c r="Q25" i="1"/>
  <c r="P22" i="1"/>
  <c r="Q22" i="1" s="1"/>
  <c r="Z47" i="1"/>
  <c r="Q33" i="1"/>
  <c r="Q30" i="1"/>
  <c r="Q36" i="1"/>
  <c r="Y26" i="1"/>
  <c r="N28" i="1"/>
  <c r="O28" i="1" s="1"/>
  <c r="P28" i="1" s="1"/>
  <c r="Y34" i="1"/>
  <c r="Z34" i="1" s="1"/>
  <c r="Y48" i="1"/>
  <c r="Z48" i="1" s="1"/>
  <c r="Y15" i="1"/>
  <c r="Z15" i="1" s="1"/>
  <c r="AJ15" i="1"/>
  <c r="AK15" i="1" s="1"/>
  <c r="AR14" i="1" s="1"/>
  <c r="H12" i="1"/>
  <c r="Q29" i="1" s="1"/>
  <c r="AI18" i="1"/>
  <c r="Z8" i="1"/>
  <c r="Y13" i="1"/>
  <c r="Z13" i="1" s="1"/>
  <c r="AJ13" i="1"/>
  <c r="AK13" i="1" s="1"/>
  <c r="AJ17" i="1"/>
  <c r="AK17" i="1" s="1"/>
  <c r="AR17" i="1" s="1"/>
  <c r="AJ18" i="1"/>
  <c r="AK18" i="1" s="1"/>
  <c r="Y20" i="1"/>
  <c r="Z20" i="1" s="1"/>
  <c r="Y25" i="1"/>
  <c r="Z25" i="1" s="1"/>
  <c r="Y33" i="1"/>
  <c r="Y17" i="1"/>
  <c r="Z17" i="1" s="1"/>
  <c r="Y18" i="1"/>
  <c r="Z18" i="1" s="1"/>
  <c r="AC15" i="1"/>
  <c r="Y16" i="1"/>
  <c r="Z16" i="1" s="1"/>
  <c r="AJ16" i="1"/>
  <c r="AK16" i="1" s="1"/>
  <c r="AJ20" i="1"/>
  <c r="AK20" i="1" s="1"/>
  <c r="Y24" i="1"/>
  <c r="Z24" i="1" s="1"/>
  <c r="Y32" i="1"/>
  <c r="Y49" i="1"/>
  <c r="Z49" i="1" s="1"/>
  <c r="Y50" i="1"/>
  <c r="Z50" i="1" s="1"/>
  <c r="Y51" i="1"/>
  <c r="Z51" i="1" s="1"/>
  <c r="Y52" i="1"/>
  <c r="Z52" i="1" s="1"/>
  <c r="Y53" i="1"/>
  <c r="Z53" i="1" s="1"/>
  <c r="Y23" i="1"/>
  <c r="Z23" i="1" s="1"/>
  <c r="Y31" i="1"/>
  <c r="Z31" i="1" s="1"/>
  <c r="Y39" i="1"/>
  <c r="H40" i="1"/>
  <c r="Y40" i="1"/>
  <c r="Z40" i="1" s="1"/>
  <c r="Y41" i="1"/>
  <c r="Z41" i="1" s="1"/>
  <c r="E15" i="1"/>
  <c r="E16" i="1" s="1"/>
  <c r="AC17" i="1"/>
  <c r="Y19" i="1"/>
  <c r="Z19" i="1" s="1"/>
  <c r="Y22" i="1"/>
  <c r="Z22" i="1" s="1"/>
  <c r="Y30" i="1"/>
  <c r="Z30" i="1" s="1"/>
  <c r="Y38" i="1"/>
  <c r="Z38" i="1" s="1"/>
  <c r="Y42" i="1"/>
  <c r="Z42" i="1" s="1"/>
  <c r="AJ19" i="1"/>
  <c r="AK19" i="1" s="1"/>
  <c r="Y21" i="1"/>
  <c r="Z21" i="1" s="1"/>
  <c r="Y29" i="1"/>
  <c r="Z29" i="1" s="1"/>
  <c r="Y37" i="1"/>
  <c r="Z37" i="1" s="1"/>
  <c r="N39" i="1"/>
  <c r="O39" i="1" s="1"/>
  <c r="P39" i="1" s="1"/>
  <c r="Q39" i="1" s="1"/>
  <c r="N40" i="1"/>
  <c r="O40" i="1" s="1"/>
  <c r="P40" i="1" s="1"/>
  <c r="Q40" i="1" s="1"/>
  <c r="Y43" i="1"/>
  <c r="Z43" i="1" s="1"/>
  <c r="Y44" i="1"/>
  <c r="Z44" i="1" s="1"/>
  <c r="Y45" i="1"/>
  <c r="Z45" i="1" s="1"/>
  <c r="H46" i="1"/>
  <c r="H49" i="1" s="1"/>
  <c r="O23" i="1"/>
  <c r="P23" i="1" s="1"/>
  <c r="Q23" i="1" s="1"/>
  <c r="Y28" i="1"/>
  <c r="Z28" i="1" s="1"/>
  <c r="O31" i="1"/>
  <c r="P31" i="1" s="1"/>
  <c r="Q31" i="1" s="1"/>
  <c r="Y36" i="1"/>
  <c r="Z36" i="1" s="1"/>
  <c r="I46" i="1"/>
  <c r="Y14" i="1"/>
  <c r="Z14" i="1" s="1"/>
  <c r="AJ14" i="1"/>
  <c r="AK14" i="1" s="1"/>
  <c r="Y27" i="1"/>
  <c r="Z27" i="1" s="1"/>
  <c r="Y35" i="1"/>
  <c r="Z35" i="1" s="1"/>
  <c r="Y46" i="1"/>
  <c r="Z46" i="1" s="1"/>
  <c r="S29" i="1" l="1"/>
  <c r="R29" i="1"/>
  <c r="AE19" i="1"/>
  <c r="AD19" i="1"/>
  <c r="AF19" i="1" s="1"/>
  <c r="AE23" i="1"/>
  <c r="AD23" i="1"/>
  <c r="AF23" i="1" s="1"/>
  <c r="AE20" i="1"/>
  <c r="AD20" i="1"/>
  <c r="AF20" i="1" s="1"/>
  <c r="S36" i="1"/>
  <c r="R36" i="1"/>
  <c r="R25" i="1"/>
  <c r="S25" i="1"/>
  <c r="AE37" i="1"/>
  <c r="AD37" i="1"/>
  <c r="AF37" i="1" s="1"/>
  <c r="R33" i="1"/>
  <c r="S33" i="1"/>
  <c r="S38" i="1"/>
  <c r="R38" i="1"/>
  <c r="S23" i="1"/>
  <c r="R23" i="1"/>
  <c r="AE15" i="1"/>
  <c r="AD15" i="1"/>
  <c r="AF15" i="1" s="1"/>
  <c r="AE21" i="1"/>
  <c r="AD21" i="1"/>
  <c r="AF21" i="1" s="1"/>
  <c r="AE45" i="1"/>
  <c r="AD45" i="1"/>
  <c r="AF45" i="1" s="1"/>
  <c r="AD51" i="1"/>
  <c r="AF51" i="1" s="1"/>
  <c r="AE51" i="1"/>
  <c r="AE48" i="1"/>
  <c r="AD48" i="1"/>
  <c r="AF48" i="1" s="1"/>
  <c r="AE47" i="1"/>
  <c r="AD47" i="1"/>
  <c r="AF47" i="1" s="1"/>
  <c r="S32" i="1"/>
  <c r="R32" i="1"/>
  <c r="AE28" i="1"/>
  <c r="AD28" i="1"/>
  <c r="AF28" i="1" s="1"/>
  <c r="AD16" i="1"/>
  <c r="AF16" i="1" s="1"/>
  <c r="AE16" i="1"/>
  <c r="AE14" i="1"/>
  <c r="AD14" i="1"/>
  <c r="AF14" i="1" s="1"/>
  <c r="AE40" i="1"/>
  <c r="AD40" i="1"/>
  <c r="AF40" i="1" s="1"/>
  <c r="AE18" i="1"/>
  <c r="AD18" i="1"/>
  <c r="AF18" i="1" s="1"/>
  <c r="AE13" i="1"/>
  <c r="AD13" i="1"/>
  <c r="AF13" i="1" s="1"/>
  <c r="AE34" i="1"/>
  <c r="AD34" i="1"/>
  <c r="AF34" i="1" s="1"/>
  <c r="S22" i="1"/>
  <c r="R22" i="1"/>
  <c r="Q24" i="1"/>
  <c r="Q27" i="1"/>
  <c r="AE46" i="1"/>
  <c r="AD46" i="1"/>
  <c r="AF46" i="1" s="1"/>
  <c r="S30" i="1"/>
  <c r="R30" i="1"/>
  <c r="E17" i="1"/>
  <c r="E18" i="1"/>
  <c r="AE44" i="1"/>
  <c r="AD44" i="1"/>
  <c r="AF44" i="1" s="1"/>
  <c r="AD50" i="1"/>
  <c r="AF50" i="1" s="1"/>
  <c r="AE50" i="1"/>
  <c r="AE38" i="1"/>
  <c r="AD38" i="1"/>
  <c r="AF38" i="1" s="1"/>
  <c r="AD49" i="1"/>
  <c r="AF49" i="1" s="1"/>
  <c r="AE49" i="1"/>
  <c r="AE17" i="1"/>
  <c r="AD17" i="1"/>
  <c r="AF17" i="1" s="1"/>
  <c r="AA8" i="1"/>
  <c r="Q28" i="1"/>
  <c r="O20" i="1"/>
  <c r="Q35" i="1"/>
  <c r="AE29" i="1"/>
  <c r="AD29" i="1"/>
  <c r="AF29" i="1" s="1"/>
  <c r="AD52" i="1"/>
  <c r="AF52" i="1" s="1"/>
  <c r="AE52" i="1"/>
  <c r="AE41" i="1"/>
  <c r="AD41" i="1"/>
  <c r="AF41" i="1" s="1"/>
  <c r="AE42" i="1"/>
  <c r="AD42" i="1"/>
  <c r="AF42" i="1" s="1"/>
  <c r="AE43" i="1"/>
  <c r="AD43" i="1"/>
  <c r="AF43" i="1" s="1"/>
  <c r="AE36" i="1"/>
  <c r="AD36" i="1"/>
  <c r="AF36" i="1" s="1"/>
  <c r="S40" i="1"/>
  <c r="R40" i="1"/>
  <c r="AE30" i="1"/>
  <c r="AD30" i="1"/>
  <c r="AF30" i="1" s="1"/>
  <c r="Z39" i="1"/>
  <c r="Z32" i="1"/>
  <c r="Z33" i="1"/>
  <c r="AI19" i="1"/>
  <c r="AN18" i="1"/>
  <c r="Z26" i="1"/>
  <c r="Q34" i="1"/>
  <c r="AA7" i="1"/>
  <c r="Q37" i="1"/>
  <c r="AE35" i="1"/>
  <c r="AD35" i="1"/>
  <c r="AF35" i="1" s="1"/>
  <c r="AD53" i="1"/>
  <c r="AF53" i="1" s="1"/>
  <c r="AE53" i="1"/>
  <c r="AE27" i="1"/>
  <c r="AD27" i="1"/>
  <c r="AF27" i="1" s="1"/>
  <c r="S31" i="1"/>
  <c r="R31" i="1"/>
  <c r="S39" i="1"/>
  <c r="R39" i="1"/>
  <c r="AE22" i="1"/>
  <c r="AD22" i="1"/>
  <c r="AF22" i="1" s="1"/>
  <c r="AE31" i="1"/>
  <c r="AD31" i="1"/>
  <c r="AF31" i="1" s="1"/>
  <c r="AD24" i="1"/>
  <c r="AF24" i="1" s="1"/>
  <c r="AE24" i="1"/>
  <c r="AE25" i="1"/>
  <c r="AD25" i="1"/>
  <c r="AF25" i="1" s="1"/>
  <c r="I11" i="1"/>
  <c r="Q26" i="1"/>
  <c r="AE26" i="1" l="1"/>
  <c r="AD26" i="1"/>
  <c r="AF26" i="1" s="1"/>
  <c r="S26" i="1"/>
  <c r="R26" i="1"/>
  <c r="S27" i="1"/>
  <c r="R27" i="1"/>
  <c r="S35" i="1"/>
  <c r="R35" i="1"/>
  <c r="AE33" i="1"/>
  <c r="AD33" i="1"/>
  <c r="AF33" i="1" s="1"/>
  <c r="S24" i="1"/>
  <c r="R24" i="1"/>
  <c r="S34" i="1"/>
  <c r="R34" i="1"/>
  <c r="S28" i="1"/>
  <c r="R28" i="1"/>
  <c r="AN19" i="1"/>
  <c r="AI20" i="1"/>
  <c r="AN20" i="1" s="1"/>
  <c r="AD32" i="1"/>
  <c r="AF32" i="1" s="1"/>
  <c r="AE32" i="1"/>
  <c r="S37" i="1"/>
  <c r="R37" i="1"/>
  <c r="AE39" i="1"/>
  <c r="AD39" i="1"/>
  <c r="AF39" i="1" s="1"/>
</calcChain>
</file>

<file path=xl/sharedStrings.xml><?xml version="1.0" encoding="utf-8"?>
<sst xmlns="http://schemas.openxmlformats.org/spreadsheetml/2006/main" count="79" uniqueCount="71">
  <si>
    <t>VARIABLE DEADTIME ACCORDING TO CURRENT LEVEL</t>
  </si>
  <si>
    <t>Vref_ADC</t>
  </si>
  <si>
    <t>Vref_offset</t>
  </si>
  <si>
    <t>A</t>
  </si>
  <si>
    <t>iL_sense</t>
  </si>
  <si>
    <t>iL_k(Q15)</t>
  </si>
  <si>
    <t>Current sense</t>
  </si>
  <si>
    <t>Rshunt</t>
  </si>
  <si>
    <t>iL_changeL_1</t>
  </si>
  <si>
    <t>Data for PQHEL choke coefficient calculation; updated to 65mOhm,5.6Rgon/10Rgon-3,3Rgoff</t>
  </si>
  <si>
    <t>R18</t>
  </si>
  <si>
    <t>kdiff</t>
  </si>
  <si>
    <t>fc</t>
  </si>
  <si>
    <t>iL_changeL_2</t>
  </si>
  <si>
    <t>R14</t>
  </si>
  <si>
    <t>offset</t>
  </si>
  <si>
    <t>fc_pole</t>
  </si>
  <si>
    <t>C13</t>
  </si>
  <si>
    <t>fc_zero</t>
  </si>
  <si>
    <t>iL_max_sense</t>
  </si>
  <si>
    <t>iL_offset_Q15</t>
  </si>
  <si>
    <t>iL</t>
  </si>
  <si>
    <t>iL_k</t>
  </si>
  <si>
    <t>DT_steps</t>
  </si>
  <si>
    <t>DT_steps_CLK</t>
  </si>
  <si>
    <t>DT_lin</t>
  </si>
  <si>
    <t>DT_target(ns)</t>
  </si>
  <si>
    <t>DT_target(CLK)</t>
  </si>
  <si>
    <t>ns/A</t>
  </si>
  <si>
    <t>CLK/ADC</t>
  </si>
  <si>
    <t>SW_gain</t>
  </si>
  <si>
    <t>b_reg1</t>
  </si>
  <si>
    <t>m_reg1</t>
  </si>
  <si>
    <t>IL_AVG_GAIN</t>
  </si>
  <si>
    <t>iL_sense(V)</t>
  </si>
  <si>
    <t>IL_AVG_GAIN_Q</t>
  </si>
  <si>
    <t>iL_sense_offset_Q15</t>
  </si>
  <si>
    <t>m_reg2</t>
  </si>
  <si>
    <t>qiL_k</t>
  </si>
  <si>
    <t>iL_AVG_max</t>
  </si>
  <si>
    <t>I_IN_AVG_MAX</t>
  </si>
  <si>
    <t>i_shunt</t>
  </si>
  <si>
    <t>i_sense</t>
  </si>
  <si>
    <t>i_sense_offset</t>
  </si>
  <si>
    <t>i_offset_ADC_Q15</t>
  </si>
  <si>
    <t>i_ADC_Q15</t>
  </si>
  <si>
    <t>SW*iL_ADC_Q15</t>
  </si>
  <si>
    <t>POS peak Ref (V)</t>
  </si>
  <si>
    <t>POS peak (A)</t>
  </si>
  <si>
    <t>NEG peak Ref (V)</t>
  </si>
  <si>
    <t>NEG peak (A)</t>
  </si>
  <si>
    <t>iL_pk limit(A)</t>
  </si>
  <si>
    <t>iL_pk ref_volt (V)</t>
  </si>
  <si>
    <t>PWM ref freq(kHz)</t>
  </si>
  <si>
    <t>PR PWM_REF</t>
  </si>
  <si>
    <t>CR CCU4 PWM_REF</t>
  </si>
  <si>
    <t>Min</t>
  </si>
  <si>
    <t>Lin2_lim</t>
  </si>
  <si>
    <t>Lin1_lim</t>
  </si>
  <si>
    <t>dt_d2s</t>
  </si>
  <si>
    <t>dt_s2d_MAX</t>
  </si>
  <si>
    <t>dt_s2d_MIN</t>
  </si>
  <si>
    <t>dt_const_iLimit</t>
  </si>
  <si>
    <t>dt_reg1_iLimit</t>
  </si>
  <si>
    <t>dt_reg2_iLimit</t>
  </si>
  <si>
    <t>dt_s2d_slopereg1</t>
  </si>
  <si>
    <t>dt_s2d_slopereg2</t>
  </si>
  <si>
    <t>dt_s2d_offreg1</t>
  </si>
  <si>
    <t>dt_s2d_offreg2</t>
  </si>
  <si>
    <t>DT_linear_ns</t>
  </si>
  <si>
    <t>DT_linear_CLK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</si>
</sst>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11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0" applyFont="1" applyFill="1"/>
    <xf numFmtId="2" fontId="1" fillId="0" borderId="0" xfId="0" applyNumberFormat="1" applyFont="1"/>
    <xf numFmtId="0" fontId="0" fillId="3" borderId="0" xfId="0" applyFill="1"/>
    <xf numFmtId="164" fontId="0" fillId="0" borderId="0" xfId="0" applyNumberFormat="1"/>
    <xf numFmtId="1" fontId="0" fillId="3" borderId="0" xfId="0" applyNumberFormat="1" applyFill="1"/>
    <xf numFmtId="0" fontId="1" fillId="0" borderId="0" xfId="0" applyFont="1"/>
    <xf numFmtId="0" fontId="0" fillId="4" borderId="0" xfId="0" applyFill="1"/>
    <xf numFmtId="0" fontId="3" fillId="4" borderId="0" xfId="0" applyFont="1" applyFill="1"/>
    <xf numFmtId="0" fontId="4" fillId="0" borderId="0" xfId="0" applyFont="1"/>
    <xf numFmtId="1" fontId="0" fillId="0" borderId="0" xfId="0" applyNumberFormat="1" applyFill="1"/>
    <xf numFmtId="0" fontId="0" fillId="5" borderId="0" xfId="0" applyFill="1"/>
    <xf numFmtId="0" fontId="0" fillId="0" borderId="0" xfId="0" applyFill="1" applyAlignment="1"/>
    <xf numFmtId="1" fontId="0" fillId="4" borderId="0" xfId="0" applyNumberFormat="1" applyFill="1"/>
    <xf numFmtId="0" fontId="4" fillId="0" borderId="0" xfId="0" applyFont="1" applyFill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3" fillId="5" borderId="0" xfId="0" applyFont="1" applyFill="1"/>
    <xf numFmtId="1" fontId="0" fillId="5" borderId="0" xfId="0" applyNumberForma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'dead time 65mOhm'!$O$21</c:f>
              <c:strCache>
                <c:ptCount val="1"/>
                <c:pt idx="0">
                  <c:v>i_sense_offset</c:v>
                </c:pt>
              </c:strCache>
            </c:strRef>
          </c:tx>
          <c:xVal>
            <c:numRef>
              <c:f>'dead time 65mOhm'!$L$24:$L$38</c:f>
              <c:numCache>
                <c:formatCode>General</c:formatCode>
                <c:ptCount val="15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-5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30</c:v>
                </c:pt>
              </c:numCache>
            </c:numRef>
          </c:xVal>
          <c:yVal>
            <c:numRef>
              <c:f>'dead time 65mOhm'!$O$24:$O$38</c:f>
              <c:numCache>
                <c:formatCode>0.000</c:formatCode>
                <c:ptCount val="15"/>
                <c:pt idx="0">
                  <c:v>1.0638297872340425</c:v>
                </c:pt>
                <c:pt idx="1">
                  <c:v>1.5425531914893615</c:v>
                </c:pt>
                <c:pt idx="2">
                  <c:v>2.021276595744681</c:v>
                </c:pt>
                <c:pt idx="3">
                  <c:v>2.2606382978723403</c:v>
                </c:pt>
                <c:pt idx="4">
                  <c:v>2.3563829787234041</c:v>
                </c:pt>
                <c:pt idx="5">
                  <c:v>2.4042553191489362</c:v>
                </c:pt>
                <c:pt idx="6">
                  <c:v>2.4521276595744679</c:v>
                </c:pt>
                <c:pt idx="7">
                  <c:v>2.5</c:v>
                </c:pt>
                <c:pt idx="8">
                  <c:v>2.5478723404255321</c:v>
                </c:pt>
                <c:pt idx="9">
                  <c:v>2.5957446808510638</c:v>
                </c:pt>
                <c:pt idx="10">
                  <c:v>2.6436170212765959</c:v>
                </c:pt>
                <c:pt idx="11">
                  <c:v>2.7393617021276597</c:v>
                </c:pt>
                <c:pt idx="12">
                  <c:v>2.978723404255319</c:v>
                </c:pt>
                <c:pt idx="13">
                  <c:v>3.4574468085106385</c:v>
                </c:pt>
                <c:pt idx="14">
                  <c:v>3.9361702127659575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93-4215-9923-E9E6723FB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381952"/>
        <c:axId val="198383488"/>
      </c:scatterChart>
      <c:valAx>
        <c:axId val="1983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383488"/>
        <c:crosses val="autoZero"/>
        <c:crossBetween val="midCat"/>
      </c:valAx>
      <c:valAx>
        <c:axId val="1983834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low"/>
        <c:crossAx val="198381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477751798218019"/>
          <c:y val="0.66410214348206464"/>
          <c:w val="0.27739313270742266"/>
          <c:h val="8.371719160104987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'dead time 65mOhm'!$R$21</c:f>
              <c:strCache>
                <c:ptCount val="1"/>
                <c:pt idx="0">
                  <c:v>SW*iL_ADC_Q15</c:v>
                </c:pt>
              </c:strCache>
            </c:strRef>
          </c:tx>
          <c:xVal>
            <c:numRef>
              <c:f>'dead time 65mOhm'!$L$24:$L$38</c:f>
              <c:numCache>
                <c:formatCode>General</c:formatCode>
                <c:ptCount val="15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-5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30</c:v>
                </c:pt>
              </c:numCache>
            </c:numRef>
          </c:xVal>
          <c:yVal>
            <c:numRef>
              <c:f>'dead time 65mOhm'!$R$24:$R$38</c:f>
              <c:numCache>
                <c:formatCode>General</c:formatCode>
                <c:ptCount val="15"/>
                <c:pt idx="0">
                  <c:v>-17884</c:v>
                </c:pt>
                <c:pt idx="1">
                  <c:v>-11922</c:v>
                </c:pt>
                <c:pt idx="2">
                  <c:v>-5962</c:v>
                </c:pt>
                <c:pt idx="3">
                  <c:v>-2981</c:v>
                </c:pt>
                <c:pt idx="4">
                  <c:v>-1789</c:v>
                </c:pt>
                <c:pt idx="5">
                  <c:v>-1193</c:v>
                </c:pt>
                <c:pt idx="6">
                  <c:v>-596</c:v>
                </c:pt>
                <c:pt idx="7">
                  <c:v>0</c:v>
                </c:pt>
                <c:pt idx="8">
                  <c:v>594</c:v>
                </c:pt>
                <c:pt idx="9">
                  <c:v>1191</c:v>
                </c:pt>
                <c:pt idx="10">
                  <c:v>1787</c:v>
                </c:pt>
                <c:pt idx="11">
                  <c:v>2979</c:v>
                </c:pt>
                <c:pt idx="12">
                  <c:v>5960</c:v>
                </c:pt>
                <c:pt idx="13">
                  <c:v>11920</c:v>
                </c:pt>
                <c:pt idx="14">
                  <c:v>17882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4-4801-9611-48A78B25C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0256"/>
        <c:axId val="201831168"/>
      </c:scatterChart>
      <c:valAx>
        <c:axId val="1988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831168"/>
        <c:crosses val="autoZero"/>
        <c:crossBetween val="midCat"/>
      </c:valAx>
      <c:valAx>
        <c:axId val="20183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198880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477751798218019"/>
          <c:y val="0.66410214348206464"/>
          <c:w val="0.27739313270742266"/>
          <c:h val="8.371719160104987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'dead time 65mOhm'!$AN$12</c:f>
              <c:strCache>
                <c:ptCount val="1"/>
                <c:pt idx="0">
                  <c:v>DT_target(CLK)</c:v>
                </c:pt>
              </c:strCache>
            </c:strRef>
          </c:tx>
          <c:marker>
            <c:symbol val="none"/>
          </c:marker>
          <c:xVal>
            <c:numRef>
              <c:f>'dead time 65mOhm'!$AH$13:$AH$21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'dead time 65mOhm'!$AN$13:$AN$21</c:f>
              <c:numCache>
                <c:formatCode>General</c:formatCode>
                <c:ptCount val="9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90-4801-A8F6-ECF79535AB32}"/>
            </c:ext>
          </c:extLst>
        </c:ser>
        <c:ser>
          <c:idx val="2"/>
          <c:order val="1"/>
          <c:tx>
            <c:strRef>
              <c:f>'dead time 65mOhm'!$AD$12</c:f>
              <c:strCache>
                <c:ptCount val="1"/>
                <c:pt idx="0">
                  <c:v>DT_linear_CLK</c:v>
                </c:pt>
              </c:strCache>
            </c:strRef>
          </c:tx>
          <c:marker>
            <c:symbol val="circle"/>
            <c:size val="5"/>
          </c:marker>
          <c:xVal>
            <c:numRef>
              <c:f>'dead time 65mOhm'!$X$13:$X$38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'dead time 65mOhm'!$AD$13:$AD$38</c:f>
              <c:numCache>
                <c:formatCode>0</c:formatCode>
                <c:ptCount val="2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90-4801-A8F6-ECF79535AB32}"/>
            </c:ext>
          </c:extLst>
        </c:ser>
        <c:ser>
          <c:idx val="3"/>
          <c:order val="2"/>
          <c:tx>
            <c:v>Const limit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'dead time 65mOhm'!$Y$58:$Y$59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'dead time 65mOhm'!$AC$58:$AC$59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90-4801-A8F6-ECF79535AB32}"/>
            </c:ext>
          </c:extLst>
        </c:ser>
        <c:ser>
          <c:idx val="1"/>
          <c:order val="3"/>
          <c:tx>
            <c:v>reg1 limit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'dead time 65mOhm'!$AA$58:$AA$59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'dead time 65mOhm'!$AC$58:$AC$59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90-4801-A8F6-ECF79535AB32}"/>
            </c:ext>
          </c:extLst>
        </c:ser>
        <c:ser>
          <c:idx val="4"/>
          <c:order val="4"/>
          <c:tx>
            <c:v>reg2 limit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'dead time 65mOhm'!$Z$58:$Z$59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'dead time 65mOhm'!$AC$58:$AC$59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90-4801-A8F6-ECF79535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886400"/>
        <c:axId val="229048320"/>
      </c:scatterChart>
      <c:valAx>
        <c:axId val="228886400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Inductor average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048320"/>
        <c:crosses val="autoZero"/>
        <c:crossBetween val="midCat"/>
      </c:valAx>
      <c:valAx>
        <c:axId val="229048320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XMC CLK steps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886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419743365412653"/>
          <c:y val="0.21715590551181102"/>
          <c:w val="0.29786176727909014"/>
          <c:h val="0.30558635170603676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'dead time 65mOhm'!$AI$12</c:f>
              <c:strCache>
                <c:ptCount val="1"/>
                <c:pt idx="0">
                  <c:v>DT_target(ns)</c:v>
                </c:pt>
              </c:strCache>
            </c:strRef>
          </c:tx>
          <c:marker>
            <c:symbol val="none"/>
          </c:marker>
          <c:xVal>
            <c:numRef>
              <c:f>'dead time 65mOhm'!$AH$13:$AH$21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'dead time 65mOhm'!$AI$13:$AI$21</c:f>
              <c:numCache>
                <c:formatCode>0</c:formatCode>
                <c:ptCount val="9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D6-45A5-BD55-9ACD24941A0D}"/>
            </c:ext>
          </c:extLst>
        </c:ser>
        <c:ser>
          <c:idx val="2"/>
          <c:order val="1"/>
          <c:tx>
            <c:strRef>
              <c:f>'dead time 65mOhm'!$AF$12</c:f>
              <c:strCache>
                <c:ptCount val="1"/>
                <c:pt idx="0">
                  <c:v>DT_linear_ns</c:v>
                </c:pt>
              </c:strCache>
            </c:strRef>
          </c:tx>
          <c:marker>
            <c:symbol val="circle"/>
            <c:size val="5"/>
          </c:marker>
          <c:xVal>
            <c:numRef>
              <c:f>'dead time 65mOhm'!$X$13:$X$38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'dead time 65mOhm'!$AF$13:$AF$38</c:f>
              <c:numCache>
                <c:formatCode>General</c:formatCode>
                <c:ptCount val="26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114.58333333333333</c:v>
                </c:pt>
                <c:pt idx="5">
                  <c:v>93.75</c:v>
                </c:pt>
                <c:pt idx="6">
                  <c:v>83.333333333333343</c:v>
                </c:pt>
                <c:pt idx="7">
                  <c:v>62.5</c:v>
                </c:pt>
                <c:pt idx="8">
                  <c:v>62.5</c:v>
                </c:pt>
                <c:pt idx="9">
                  <c:v>52.083333333333336</c:v>
                </c:pt>
                <c:pt idx="10">
                  <c:v>52.083333333333336</c:v>
                </c:pt>
                <c:pt idx="11">
                  <c:v>52.083333333333336</c:v>
                </c:pt>
                <c:pt idx="12">
                  <c:v>52.083333333333336</c:v>
                </c:pt>
                <c:pt idx="13">
                  <c:v>52.083333333333336</c:v>
                </c:pt>
                <c:pt idx="14">
                  <c:v>52.083333333333336</c:v>
                </c:pt>
                <c:pt idx="15">
                  <c:v>52.083333333333336</c:v>
                </c:pt>
                <c:pt idx="16">
                  <c:v>52.083333333333336</c:v>
                </c:pt>
                <c:pt idx="17">
                  <c:v>52.083333333333336</c:v>
                </c:pt>
                <c:pt idx="18">
                  <c:v>52.083333333333336</c:v>
                </c:pt>
                <c:pt idx="19">
                  <c:v>52.083333333333336</c:v>
                </c:pt>
                <c:pt idx="20">
                  <c:v>52.083333333333336</c:v>
                </c:pt>
                <c:pt idx="21">
                  <c:v>52.083333333333336</c:v>
                </c:pt>
                <c:pt idx="22">
                  <c:v>52.083333333333336</c:v>
                </c:pt>
                <c:pt idx="23">
                  <c:v>52.083333333333336</c:v>
                </c:pt>
                <c:pt idx="24">
                  <c:v>52.083333333333336</c:v>
                </c:pt>
                <c:pt idx="25">
                  <c:v>52.083333333333336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D6-45A5-BD55-9ACD24941A0D}"/>
            </c:ext>
          </c:extLst>
        </c:ser>
        <c:ser>
          <c:idx val="3"/>
          <c:order val="2"/>
          <c:tx>
            <c:v>Const limit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'dead time 65mOhm'!$Y$58:$Y$59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'dead time 65mOhm'!$AC$58:$AC$59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D6-45A5-BD55-9ACD24941A0D}"/>
            </c:ext>
          </c:extLst>
        </c:ser>
        <c:ser>
          <c:idx val="1"/>
          <c:order val="3"/>
          <c:tx>
            <c:v>reg1 limit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'dead time 65mOhm'!$AA$58:$AA$59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'dead time 65mOhm'!$AC$58:$AC$59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D6-45A5-BD55-9ACD24941A0D}"/>
            </c:ext>
          </c:extLst>
        </c:ser>
        <c:ser>
          <c:idx val="4"/>
          <c:order val="4"/>
          <c:tx>
            <c:v>reg2 limit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'dead time 65mOhm'!$Z$58:$Z$59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'dead time 65mOhm'!$AC$58:$AC$59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D6-45A5-BD55-9ACD2494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783040"/>
        <c:axId val="276461824"/>
      </c:scatterChart>
      <c:valAx>
        <c:axId val="253783040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Inductor average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461824"/>
        <c:crosses val="autoZero"/>
        <c:crossBetween val="midCat"/>
      </c:valAx>
      <c:valAx>
        <c:axId val="27646182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Dead time (ns)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3783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557989189416515"/>
          <c:y val="0.21715590551181102"/>
          <c:w val="0.3664792473946073"/>
          <c:h val="0.30558635170603676"/>
        </c:manualLayout>
      </c:layout>
      <c:overlay val="1"/>
      <c:spPr>
        <a:solidFill>
          <a:sysClr val="window" lastClr="FFFFFF"/>
        </a:solidFill>
      </c:spPr>
    </c:legend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480172</xdr:colOff>
      <xdr:row>2</xdr:row>
      <xdr:rowOff>26895</xdr:rowOff>
    </xdr:from>
    <xdr:to>
      <xdr:col>14</xdr:col>
      <xdr:colOff>764482</xdr:colOff>
      <xdr:row>16</xdr:row>
      <xdr:rowOff>55470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0222" y="407895"/>
          <a:ext cx="3056085" cy="2695575"/>
        </a:xfrm>
        <a:prstGeom prst="rect">
          <a:avLst/>
        </a:prstGeom>
      </xdr:spPr>
    </xdr:pic>
    <xdr:clientData/>
  </xdr:twoCellAnchor>
  <xdr:twoCellAnchor>
    <xdr:from>
      <xdr:col>3</xdr:col>
      <xdr:colOff>42862</xdr:colOff>
      <xdr:row>21</xdr:row>
      <xdr:rowOff>140354</xdr:rowOff>
    </xdr:from>
    <xdr:to>
      <xdr:col>10</xdr:col>
      <xdr:colOff>0</xdr:colOff>
      <xdr:row>36</xdr:row>
      <xdr:rowOff>26054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83243</xdr:colOff>
      <xdr:row>2</xdr:row>
      <xdr:rowOff>76040</xdr:rowOff>
    </xdr:from>
    <xdr:to>
      <xdr:col>20</xdr:col>
      <xdr:colOff>596673</xdr:colOff>
      <xdr:row>16</xdr:row>
      <xdr:rowOff>152240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902573</xdr:colOff>
      <xdr:row>25</xdr:row>
      <xdr:rowOff>47991</xdr:rowOff>
    </xdr:from>
    <xdr:to>
      <xdr:col>52</xdr:col>
      <xdr:colOff>173342</xdr:colOff>
      <xdr:row>50</xdr:row>
      <xdr:rowOff>47991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1019976</xdr:colOff>
      <xdr:row>25</xdr:row>
      <xdr:rowOff>29134</xdr:rowOff>
    </xdr:from>
    <xdr:to>
      <xdr:col>40</xdr:col>
      <xdr:colOff>663421</xdr:colOff>
      <xdr:row>50</xdr:row>
      <xdr:rowOff>29133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Meneses\800WPSU\LLC\controller_design\LLC800WPSU_controller_desig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in_test"/>
      <sheetName val="VCO gain"/>
      <sheetName val="loop_gain_160kHz"/>
      <sheetName val="loop_gain_100kHz"/>
      <sheetName val="loop_gain_300kHz"/>
      <sheetName val="Compensator Calc"/>
      <sheetName val="output filter comparison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A10">
            <v>1</v>
          </cell>
        </row>
        <row r="11">
          <cell r="BA11">
            <v>2</v>
          </cell>
        </row>
        <row r="12">
          <cell r="BA12">
            <v>3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90"/>
  <sheetViews>
    <sheetView tabSelected="1" zoomScale="70" zoomScaleNormal="70" workbookViewId="0">
      <selection activeCell="G11" sqref="G11"/>
    </sheetView>
  </sheetViews>
  <sheetFormatPr defaultRowHeight="14.5" x14ac:dyDescent="0.35"/>
  <cols>
    <col min="2" max="2" width="23.08984375" bestFit="1" customWidth="1"/>
    <col min="4" max="4" width="20.36328125" bestFit="1" customWidth="1"/>
    <col min="5" max="5" width="10" bestFit="1" customWidth="1"/>
    <col min="6" max="6" width="3.6328125" customWidth="1"/>
    <col min="7" max="7" width="17.90625" bestFit="1" customWidth="1"/>
    <col min="8" max="8" width="11" bestFit="1" customWidth="1"/>
    <col min="9" max="9" width="7.90625" bestFit="1" customWidth="1"/>
    <col min="10" max="10" width="11.54296875" bestFit="1" customWidth="1"/>
    <col min="11" max="11" width="3.6328125" customWidth="1"/>
    <col min="13" max="13" width="12.08984375" bestFit="1" customWidth="1"/>
    <col min="14" max="14" width="13.08984375" bestFit="1" customWidth="1"/>
    <col min="15" max="15" width="14.08984375" bestFit="1" customWidth="1"/>
    <col min="16" max="16" width="17.36328125" bestFit="1" customWidth="1"/>
    <col min="17" max="17" width="10.6328125" bestFit="1" customWidth="1"/>
    <col min="18" max="18" width="15.54296875" bestFit="1" customWidth="1"/>
    <col min="24" max="24" width="16.54296875" bestFit="1" customWidth="1"/>
    <col min="25" max="26" width="10.90625" bestFit="1" customWidth="1"/>
    <col min="27" max="27" width="11.36328125" bestFit="1" customWidth="1"/>
    <col min="28" max="28" width="15.6328125" bestFit="1" customWidth="1"/>
    <col min="29" max="29" width="15.6328125" customWidth="1"/>
    <col min="30" max="30" width="20.08984375" bestFit="1" customWidth="1"/>
    <col min="32" max="32" width="14.90625" bestFit="1" customWidth="1"/>
    <col min="33" max="33" width="15.453125" customWidth="1"/>
    <col min="34" max="34" width="15.36328125" bestFit="1" customWidth="1"/>
    <col min="35" max="35" width="15.36328125" customWidth="1"/>
    <col min="38" max="38" width="24.90625" bestFit="1" customWidth="1"/>
    <col min="39" max="39" width="14.36328125" bestFit="1" customWidth="1"/>
    <col min="40" max="40" width="16.36328125" bestFit="1" customWidth="1"/>
    <col min="41" max="41" width="15.453125" bestFit="1" customWidth="1"/>
    <col min="43" max="44" width="10.36328125" bestFit="1" customWidth="1"/>
    <col min="45" max="45" width="23.90625" customWidth="1"/>
    <col min="46" max="46" width="7" customWidth="1"/>
    <col min="47" max="47" width="3.90625" bestFit="1" customWidth="1"/>
  </cols>
  <sheetData>
    <row r="1" spans="2:46" x14ac:dyDescent="0.35">
      <c r="V1" s="1"/>
      <c r="X1" s="28" t="s">
        <v>0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2:46" x14ac:dyDescent="0.35">
      <c r="B2" t="s">
        <v>1</v>
      </c>
      <c r="C2">
        <v>5</v>
      </c>
      <c r="V2" s="1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2:46" x14ac:dyDescent="0.35">
      <c r="B3" t="s">
        <v>2</v>
      </c>
      <c r="C3">
        <v>2.5</v>
      </c>
      <c r="V3" s="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x14ac:dyDescent="0.35">
      <c r="V4" s="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2:46" x14ac:dyDescent="0.35">
      <c r="V5" s="1"/>
    </row>
    <row r="6" spans="2:46" x14ac:dyDescent="0.35">
      <c r="V6" s="1"/>
      <c r="Y6" t="s">
        <v>3</v>
      </c>
      <c r="Z6" t="s">
        <v>4</v>
      </c>
      <c r="AA6" t="s">
        <v>5</v>
      </c>
    </row>
    <row r="7" spans="2:46" ht="15" customHeight="1" x14ac:dyDescent="0.35">
      <c r="B7" s="2"/>
      <c r="C7" s="3"/>
      <c r="D7" t="s">
        <v>6</v>
      </c>
      <c r="G7" t="s">
        <v>7</v>
      </c>
      <c r="H7" s="4">
        <v>3.0000000000000001E-3</v>
      </c>
      <c r="V7" s="1"/>
      <c r="X7" t="s">
        <v>8</v>
      </c>
      <c r="Y7">
        <v>5.59</v>
      </c>
      <c r="Z7" s="5">
        <f>Y7*$H$7*$H$8+$H$9</f>
        <v>2.7676063829787232</v>
      </c>
      <c r="AA7" s="6">
        <f>TRUNC((Z7*2^15/$C$2-$H$12)*$H$14*2^-$H$15)</f>
        <v>3332</v>
      </c>
      <c r="AB7" s="27" t="s">
        <v>9</v>
      </c>
      <c r="AC7" s="27"/>
      <c r="AD7" s="27"/>
      <c r="AE7" s="27"/>
      <c r="AF7" s="27"/>
      <c r="AG7" s="27"/>
      <c r="AH7" s="27"/>
      <c r="AI7" s="22"/>
      <c r="AJ7" s="6"/>
    </row>
    <row r="8" spans="2:46" x14ac:dyDescent="0.35">
      <c r="B8" s="2"/>
      <c r="C8" s="2"/>
      <c r="D8" t="s">
        <v>10</v>
      </c>
      <c r="E8">
        <v>47</v>
      </c>
      <c r="G8" t="s">
        <v>11</v>
      </c>
      <c r="H8" s="5">
        <f>E9/E8</f>
        <v>15.957446808510639</v>
      </c>
      <c r="I8" t="s">
        <v>12</v>
      </c>
      <c r="J8" s="4">
        <f>1/(2*PI()*E9*E10)</f>
        <v>2122065.907891938</v>
      </c>
      <c r="V8" s="1"/>
      <c r="X8" t="s">
        <v>13</v>
      </c>
      <c r="Y8">
        <v>23.43</v>
      </c>
      <c r="Z8" s="5">
        <f>Y8*$H$7*$H$8+$H$9</f>
        <v>3.6216489361702129</v>
      </c>
      <c r="AA8" s="6">
        <f>TRUNC((Z8*2^15/$C$2-$H$12)*$H$14*2^-$H$15)</f>
        <v>13966</v>
      </c>
      <c r="AB8" s="27"/>
      <c r="AC8" s="27"/>
      <c r="AD8" s="27"/>
      <c r="AE8" s="27"/>
      <c r="AF8" s="27"/>
      <c r="AG8" s="27"/>
      <c r="AH8" s="27"/>
      <c r="AI8" s="22"/>
      <c r="AJ8" s="6"/>
    </row>
    <row r="9" spans="2:46" x14ac:dyDescent="0.35">
      <c r="B9" s="2"/>
      <c r="C9" s="2"/>
      <c r="D9" t="s">
        <v>14</v>
      </c>
      <c r="E9" s="5">
        <v>750</v>
      </c>
      <c r="G9" t="s">
        <v>15</v>
      </c>
      <c r="H9">
        <f>C3</f>
        <v>2.5</v>
      </c>
      <c r="I9" t="s">
        <v>16</v>
      </c>
      <c r="J9" s="4">
        <f>1/(2*PI()*E10*E8*E9/(E8+E9))</f>
        <v>35984819.75723137</v>
      </c>
      <c r="V9" s="1"/>
      <c r="AH9" s="4"/>
      <c r="AI9" s="4"/>
    </row>
    <row r="10" spans="2:46" x14ac:dyDescent="0.35">
      <c r="B10" s="2"/>
      <c r="C10" s="2"/>
      <c r="D10" t="s">
        <v>17</v>
      </c>
      <c r="E10" s="4">
        <v>1E-10</v>
      </c>
      <c r="I10" t="s">
        <v>18</v>
      </c>
      <c r="J10" s="4">
        <f>1/(2*PI()*E9*E10)</f>
        <v>2122065.907891938</v>
      </c>
      <c r="V10" s="1"/>
      <c r="AH10" s="4"/>
      <c r="AI10" s="4"/>
      <c r="AJ10" s="6"/>
    </row>
    <row r="11" spans="2:46" x14ac:dyDescent="0.35">
      <c r="B11" s="7"/>
      <c r="C11" s="2"/>
      <c r="G11" t="s">
        <v>19</v>
      </c>
      <c r="H11" s="8">
        <f>(C2-C3)/H8/H7</f>
        <v>52.222222222222214</v>
      </c>
      <c r="I11" s="6">
        <f>TRUNC((TRUNC((H11*H7*H8+H9)*2^15/C2)-H12)*H13)</f>
        <v>31129</v>
      </c>
      <c r="V11" s="1"/>
      <c r="AN11" s="9">
        <v>5</v>
      </c>
      <c r="AO11" s="9" t="s">
        <v>59</v>
      </c>
    </row>
    <row r="12" spans="2:46" x14ac:dyDescent="0.35">
      <c r="B12" s="2"/>
      <c r="C12" s="2"/>
      <c r="G12" t="s">
        <v>20</v>
      </c>
      <c r="H12">
        <f>TRUNC(H9*2^15/C2)</f>
        <v>16384</v>
      </c>
      <c r="V12" s="1"/>
      <c r="X12" t="s">
        <v>21</v>
      </c>
      <c r="Y12" t="s">
        <v>4</v>
      </c>
      <c r="Z12" t="s">
        <v>22</v>
      </c>
      <c r="AA12" t="s">
        <v>23</v>
      </c>
      <c r="AB12" t="s">
        <v>24</v>
      </c>
      <c r="AC12" t="s">
        <v>25</v>
      </c>
      <c r="AD12" t="s">
        <v>70</v>
      </c>
      <c r="AF12" t="s">
        <v>69</v>
      </c>
      <c r="AH12" t="s">
        <v>21</v>
      </c>
      <c r="AI12" t="s">
        <v>26</v>
      </c>
      <c r="AJ12" t="s">
        <v>4</v>
      </c>
      <c r="AK12" t="s">
        <v>22</v>
      </c>
      <c r="AM12" s="2"/>
      <c r="AN12" t="s">
        <v>27</v>
      </c>
      <c r="AQ12" t="s">
        <v>28</v>
      </c>
      <c r="AR12" t="s">
        <v>29</v>
      </c>
    </row>
    <row r="13" spans="2:46" x14ac:dyDescent="0.35">
      <c r="B13" s="2"/>
      <c r="C13" s="2"/>
      <c r="G13" t="s">
        <v>30</v>
      </c>
      <c r="H13">
        <v>1.9</v>
      </c>
      <c r="V13" s="1"/>
      <c r="X13">
        <v>0</v>
      </c>
      <c r="Y13" s="10">
        <f t="shared" ref="Y13:Y53" si="0">X13*$H$7*$H$8+$H$9</f>
        <v>2.5</v>
      </c>
      <c r="Z13" s="6">
        <f t="shared" ref="Z13:Z53" si="1">TRUNC((Y13*2^15/$C$2-$H$12)*$H$14*2^-$H$15)</f>
        <v>0</v>
      </c>
      <c r="AA13" s="6">
        <f>IF(X13&lt;5,200,IF(X13&lt;10,100,60))</f>
        <v>200</v>
      </c>
      <c r="AB13" s="6">
        <f>TRUNC(AA13*0.000000001*96000000)+1</f>
        <v>20</v>
      </c>
      <c r="AC13" s="6">
        <f t="shared" ref="AC13:AC53" si="2">IF(X13&lt;=$AH$15,$AQ$13+$AQ$14*X13,IF(X13&lt;=$AH$16,$AQ$16+$AQ$17*X13,$AM$21))</f>
        <v>165</v>
      </c>
      <c r="AD13" s="6">
        <f>MIN(IF(Z13&lt;=$AK$15,IF(Z13&lt;$AK$13,$AN$13,TRUNC($AR$13-$AR$14*Z13*2^-15)),IF(Z13&lt;$AK$16,TRUNC($AR$16-$AR$17*Z13*2^-15),$AN$17)),$AN$13)</f>
        <v>12</v>
      </c>
      <c r="AE13">
        <f>IF(Z13&lt;=$AH$14,1,IF(Z13&lt;=$AH$17,2,3))</f>
        <v>1</v>
      </c>
      <c r="AF13">
        <f>AD13/96000000*1000000000</f>
        <v>125</v>
      </c>
      <c r="AH13" s="25">
        <v>3</v>
      </c>
      <c r="AI13" s="26">
        <v>120</v>
      </c>
      <c r="AJ13" s="10">
        <f t="shared" ref="AJ13:AJ20" si="3">AH13*$H$7*$H$8+$H$9</f>
        <v>2.6436170212765959</v>
      </c>
      <c r="AK13" s="11">
        <f t="shared" ref="AK13:AK20" si="4">TRUNC((AJ13*2^15/$C$2-$H$12)*$H$14*2^-$H$15)</f>
        <v>1788</v>
      </c>
      <c r="AL13" s="11" t="s">
        <v>62</v>
      </c>
      <c r="AM13" s="16"/>
      <c r="AN13" s="9">
        <f>TRUNC(AI13*0.000000001*96000000)+1</f>
        <v>12</v>
      </c>
      <c r="AO13" s="9" t="s">
        <v>60</v>
      </c>
      <c r="AP13" s="12" t="s">
        <v>31</v>
      </c>
      <c r="AQ13">
        <f>AI13-AQ14*AH13</f>
        <v>165</v>
      </c>
      <c r="AR13" s="9">
        <f>TRUNC(AQ13*0.000000001*96000000)+2</f>
        <v>17</v>
      </c>
      <c r="AS13" s="9" t="s">
        <v>67</v>
      </c>
    </row>
    <row r="14" spans="2:46" x14ac:dyDescent="0.35">
      <c r="B14" s="7"/>
      <c r="C14" s="2"/>
      <c r="D14" t="s">
        <v>21</v>
      </c>
      <c r="E14">
        <v>20</v>
      </c>
      <c r="G14" s="13" t="s">
        <v>33</v>
      </c>
      <c r="H14" s="13">
        <f>IF(H13&lt;1,TRUNC(H13*2^15),IF(H13&lt;2,TRUNC(H13*2^14),TRUNC(H13*2^13)))</f>
        <v>31129</v>
      </c>
      <c r="V14" s="1"/>
      <c r="X14">
        <v>1</v>
      </c>
      <c r="Y14" s="10">
        <f t="shared" si="0"/>
        <v>2.5478723404255321</v>
      </c>
      <c r="Z14" s="6">
        <f t="shared" si="1"/>
        <v>596</v>
      </c>
      <c r="AA14" s="6">
        <f t="shared" ref="AA14:AA53" si="5">IF(X14&lt;5,200,IF(X14&lt;10,100,60))</f>
        <v>200</v>
      </c>
      <c r="AB14" s="6">
        <f t="shared" ref="AB14:AB53" si="6">TRUNC(AA14*0.000000001*96000000)+1</f>
        <v>20</v>
      </c>
      <c r="AC14" s="6">
        <f t="shared" si="2"/>
        <v>150</v>
      </c>
      <c r="AD14" s="6">
        <f t="shared" ref="AD14:AD53" si="7">MIN(IF(Z14&lt;=$AK$15,IF(Z14&lt;$AK$13,$AN$13,TRUNC($AR$13-$AR$14*Z14*2^-15)),IF(Z14&lt;$AK$16,TRUNC($AR$16-$AR$17*Z14*2^-15),$AN$17)),$AN$13)</f>
        <v>12</v>
      </c>
      <c r="AE14">
        <f t="shared" ref="AE14:AE53" si="8">IF(Z14&lt;=$AH$14,1,IF(Z14&lt;=$AH$17,2,3))</f>
        <v>3</v>
      </c>
      <c r="AF14">
        <f t="shared" ref="AF14:AF53" si="9">AD14/96000000*1000000000</f>
        <v>125</v>
      </c>
      <c r="AH14" s="23">
        <v>5</v>
      </c>
      <c r="AI14" s="6">
        <v>80</v>
      </c>
      <c r="AJ14" s="10">
        <f t="shared" si="3"/>
        <v>2.7393617021276597</v>
      </c>
      <c r="AK14" s="6">
        <f t="shared" si="4"/>
        <v>2980</v>
      </c>
      <c r="AL14" s="6"/>
      <c r="AM14" s="16"/>
      <c r="AN14" s="2">
        <f t="shared" ref="AN14:AN20" si="10">TRUNC(AI14*0.000000001*96000000)+1</f>
        <v>8</v>
      </c>
      <c r="AP14" s="12" t="s">
        <v>32</v>
      </c>
      <c r="AQ14">
        <f>(AI15-AI13)/(AH15-AH13)</f>
        <v>-15</v>
      </c>
      <c r="AR14" s="9">
        <f>-TRUNC((AN15-AN13)/(AK15-AK13)*2^15)</f>
        <v>82</v>
      </c>
      <c r="AS14" s="9" t="s">
        <v>65</v>
      </c>
      <c r="AT14" s="2"/>
    </row>
    <row r="15" spans="2:46" x14ac:dyDescent="0.35">
      <c r="B15" s="2"/>
      <c r="C15" s="2"/>
      <c r="D15" t="s">
        <v>34</v>
      </c>
      <c r="E15" s="5">
        <f>E14*H7*H8+H9</f>
        <v>3.4574468085106385</v>
      </c>
      <c r="G15" s="14" t="s">
        <v>35</v>
      </c>
      <c r="H15" s="14">
        <f>IF(H13&lt;1,15,IF(H13&lt;2,14,13))</f>
        <v>14</v>
      </c>
      <c r="V15" s="1"/>
      <c r="X15">
        <v>2</v>
      </c>
      <c r="Y15" s="10">
        <f t="shared" si="0"/>
        <v>2.5957446808510638</v>
      </c>
      <c r="Z15" s="6">
        <f t="shared" si="1"/>
        <v>1192</v>
      </c>
      <c r="AA15" s="6">
        <f t="shared" si="5"/>
        <v>200</v>
      </c>
      <c r="AB15" s="6">
        <f t="shared" si="6"/>
        <v>20</v>
      </c>
      <c r="AC15" s="6">
        <f t="shared" si="2"/>
        <v>135</v>
      </c>
      <c r="AD15" s="6">
        <f t="shared" si="7"/>
        <v>12</v>
      </c>
      <c r="AE15">
        <f t="shared" si="8"/>
        <v>3</v>
      </c>
      <c r="AF15">
        <f t="shared" si="9"/>
        <v>125</v>
      </c>
      <c r="AH15" s="25">
        <v>7</v>
      </c>
      <c r="AI15" s="26">
        <v>60</v>
      </c>
      <c r="AJ15" s="10">
        <f t="shared" si="3"/>
        <v>2.8351063829787235</v>
      </c>
      <c r="AK15" s="11">
        <f t="shared" si="4"/>
        <v>4172</v>
      </c>
      <c r="AL15" s="11" t="s">
        <v>63</v>
      </c>
      <c r="AM15" s="16"/>
      <c r="AN15" s="2">
        <f t="shared" si="10"/>
        <v>6</v>
      </c>
      <c r="AT15" s="2"/>
    </row>
    <row r="16" spans="2:46" x14ac:dyDescent="0.35">
      <c r="B16" s="2"/>
      <c r="C16" s="2"/>
      <c r="D16" t="s">
        <v>36</v>
      </c>
      <c r="E16">
        <f>TRUNC(E15*2^15/C2)</f>
        <v>22658</v>
      </c>
      <c r="V16" s="1"/>
      <c r="X16">
        <v>3</v>
      </c>
      <c r="Y16" s="10">
        <f t="shared" si="0"/>
        <v>2.6436170212765959</v>
      </c>
      <c r="Z16" s="6">
        <f t="shared" si="1"/>
        <v>1788</v>
      </c>
      <c r="AA16" s="6">
        <f t="shared" si="5"/>
        <v>200</v>
      </c>
      <c r="AB16" s="6">
        <f t="shared" si="6"/>
        <v>20</v>
      </c>
      <c r="AC16" s="6">
        <f t="shared" si="2"/>
        <v>120</v>
      </c>
      <c r="AD16" s="6">
        <f t="shared" si="7"/>
        <v>12</v>
      </c>
      <c r="AE16">
        <f t="shared" si="8"/>
        <v>3</v>
      </c>
      <c r="AF16">
        <f t="shared" si="9"/>
        <v>125</v>
      </c>
      <c r="AH16" s="23">
        <v>9</v>
      </c>
      <c r="AI16" s="16">
        <v>50</v>
      </c>
      <c r="AJ16" s="10">
        <f t="shared" si="3"/>
        <v>2.9308510638297873</v>
      </c>
      <c r="AK16" s="16">
        <f t="shared" si="4"/>
        <v>5364</v>
      </c>
      <c r="AM16" s="16"/>
      <c r="AN16" s="2">
        <f t="shared" si="10"/>
        <v>5</v>
      </c>
      <c r="AP16" s="15" t="s">
        <v>31</v>
      </c>
      <c r="AQ16">
        <f>AI15-AQ17*AH15</f>
        <v>77.5</v>
      </c>
      <c r="AR16" s="9">
        <f>TRUNC(AQ16*0.000000001*96000000)+1</f>
        <v>8</v>
      </c>
      <c r="AS16" s="9" t="s">
        <v>68</v>
      </c>
      <c r="AT16" s="2"/>
    </row>
    <row r="17" spans="2:46" x14ac:dyDescent="0.35">
      <c r="B17" s="2"/>
      <c r="C17" s="2"/>
      <c r="D17" t="s">
        <v>38</v>
      </c>
      <c r="E17">
        <f>TRUNC((E16-H12)*H14*2^-H15)</f>
        <v>11920</v>
      </c>
      <c r="G17" s="17" t="s">
        <v>39</v>
      </c>
      <c r="H17" s="17">
        <v>25</v>
      </c>
      <c r="V17" s="1"/>
      <c r="X17">
        <v>4</v>
      </c>
      <c r="Y17" s="10">
        <f t="shared" si="0"/>
        <v>2.6914893617021276</v>
      </c>
      <c r="Z17" s="6">
        <f t="shared" si="1"/>
        <v>2384</v>
      </c>
      <c r="AA17" s="6">
        <f t="shared" si="5"/>
        <v>200</v>
      </c>
      <c r="AB17" s="6">
        <f t="shared" si="6"/>
        <v>20</v>
      </c>
      <c r="AC17" s="6">
        <f t="shared" si="2"/>
        <v>105</v>
      </c>
      <c r="AD17" s="6">
        <f t="shared" si="7"/>
        <v>11</v>
      </c>
      <c r="AE17">
        <f t="shared" si="8"/>
        <v>3</v>
      </c>
      <c r="AF17">
        <f t="shared" si="9"/>
        <v>114.58333333333333</v>
      </c>
      <c r="AH17" s="25">
        <v>11</v>
      </c>
      <c r="AI17" s="26">
        <f>AI16</f>
        <v>50</v>
      </c>
      <c r="AJ17" s="10">
        <f t="shared" si="3"/>
        <v>3.0265957446808511</v>
      </c>
      <c r="AK17" s="11">
        <f t="shared" si="4"/>
        <v>6556</v>
      </c>
      <c r="AL17" s="11" t="s">
        <v>64</v>
      </c>
      <c r="AM17" s="16"/>
      <c r="AN17" s="2">
        <f t="shared" si="10"/>
        <v>5</v>
      </c>
      <c r="AP17" s="15" t="s">
        <v>37</v>
      </c>
      <c r="AQ17">
        <f>(AI17-AI15)/(AH17-AH15)</f>
        <v>-2.5</v>
      </c>
      <c r="AR17" s="9">
        <f>-TRUNC((AN17-AN15)/(AK17-AK15)*2^15)</f>
        <v>13</v>
      </c>
      <c r="AS17" s="9" t="s">
        <v>66</v>
      </c>
      <c r="AT17" s="2"/>
    </row>
    <row r="18" spans="2:46" x14ac:dyDescent="0.35">
      <c r="B18" s="18"/>
      <c r="C18" s="18"/>
      <c r="E18">
        <f>TRUNC((E16-H12)*H13)</f>
        <v>11920</v>
      </c>
      <c r="G18" s="13" t="s">
        <v>40</v>
      </c>
      <c r="H18" s="19">
        <f>(TRUNC(($H$9+H17*$H$7*$H$8)*2^15/$C$2)-$H$12)*$H$13</f>
        <v>14901.699999999999</v>
      </c>
      <c r="V18" s="1"/>
      <c r="X18">
        <v>5</v>
      </c>
      <c r="Y18" s="10">
        <f t="shared" si="0"/>
        <v>2.7393617021276597</v>
      </c>
      <c r="Z18" s="6">
        <f t="shared" si="1"/>
        <v>2980</v>
      </c>
      <c r="AA18" s="6">
        <f t="shared" si="5"/>
        <v>100</v>
      </c>
      <c r="AB18" s="6">
        <f t="shared" si="6"/>
        <v>10</v>
      </c>
      <c r="AC18" s="6">
        <f t="shared" si="2"/>
        <v>90</v>
      </c>
      <c r="AD18" s="6">
        <f t="shared" si="7"/>
        <v>9</v>
      </c>
      <c r="AE18">
        <f t="shared" si="8"/>
        <v>3</v>
      </c>
      <c r="AF18">
        <f t="shared" si="9"/>
        <v>93.75</v>
      </c>
      <c r="AH18" s="24">
        <v>15</v>
      </c>
      <c r="AI18" s="16">
        <f t="shared" ref="AI18:AI20" si="11">AI17</f>
        <v>50</v>
      </c>
      <c r="AJ18" s="10">
        <f t="shared" si="3"/>
        <v>3.2180851063829787</v>
      </c>
      <c r="AK18" s="6">
        <f t="shared" si="4"/>
        <v>8941</v>
      </c>
      <c r="AL18" s="6"/>
      <c r="AM18" s="16"/>
      <c r="AN18" s="2">
        <f t="shared" si="10"/>
        <v>5</v>
      </c>
      <c r="AP18" s="20"/>
      <c r="AQ18" s="2"/>
      <c r="AR18" s="2"/>
      <c r="AS18" s="2"/>
      <c r="AT18" s="2"/>
    </row>
    <row r="19" spans="2:46" x14ac:dyDescent="0.35">
      <c r="B19" s="2"/>
      <c r="C19" s="2"/>
      <c r="V19" s="1"/>
      <c r="X19">
        <v>6</v>
      </c>
      <c r="Y19" s="10">
        <f t="shared" si="0"/>
        <v>2.7872340425531914</v>
      </c>
      <c r="Z19" s="6">
        <f t="shared" si="1"/>
        <v>3576</v>
      </c>
      <c r="AA19" s="6">
        <f t="shared" si="5"/>
        <v>100</v>
      </c>
      <c r="AB19" s="6">
        <f t="shared" si="6"/>
        <v>10</v>
      </c>
      <c r="AC19" s="6">
        <f t="shared" si="2"/>
        <v>75</v>
      </c>
      <c r="AD19" s="6">
        <f t="shared" si="7"/>
        <v>8</v>
      </c>
      <c r="AE19">
        <f t="shared" si="8"/>
        <v>3</v>
      </c>
      <c r="AF19">
        <f t="shared" si="9"/>
        <v>83.333333333333343</v>
      </c>
      <c r="AH19" s="23">
        <v>20</v>
      </c>
      <c r="AI19" s="16">
        <f t="shared" si="11"/>
        <v>50</v>
      </c>
      <c r="AJ19" s="10">
        <f t="shared" si="3"/>
        <v>3.4574468085106385</v>
      </c>
      <c r="AK19" s="6">
        <f t="shared" si="4"/>
        <v>11921</v>
      </c>
      <c r="AL19" s="6"/>
      <c r="AM19" s="16"/>
      <c r="AN19" s="2">
        <f t="shared" si="10"/>
        <v>5</v>
      </c>
      <c r="AR19" s="2"/>
      <c r="AS19" s="2"/>
    </row>
    <row r="20" spans="2:46" x14ac:dyDescent="0.35">
      <c r="B20" s="2"/>
      <c r="C20" s="3"/>
      <c r="O20">
        <f>IF(OR((O22&lt;0),(O40&gt;$C$2)),1,0)</f>
        <v>0</v>
      </c>
      <c r="V20" s="1"/>
      <c r="X20">
        <v>7</v>
      </c>
      <c r="Y20" s="10">
        <f t="shared" si="0"/>
        <v>2.8351063829787235</v>
      </c>
      <c r="Z20" s="6">
        <f t="shared" si="1"/>
        <v>4172</v>
      </c>
      <c r="AA20" s="6">
        <f t="shared" si="5"/>
        <v>100</v>
      </c>
      <c r="AB20" s="6">
        <f t="shared" si="6"/>
        <v>10</v>
      </c>
      <c r="AC20" s="6">
        <f t="shared" si="2"/>
        <v>60</v>
      </c>
      <c r="AD20" s="6">
        <f t="shared" si="7"/>
        <v>6</v>
      </c>
      <c r="AE20">
        <f t="shared" si="8"/>
        <v>3</v>
      </c>
      <c r="AF20">
        <f t="shared" si="9"/>
        <v>62.5</v>
      </c>
      <c r="AH20" s="24">
        <v>25</v>
      </c>
      <c r="AI20" s="16">
        <f t="shared" si="11"/>
        <v>50</v>
      </c>
      <c r="AJ20" s="10">
        <f t="shared" si="3"/>
        <v>3.6968085106382977</v>
      </c>
      <c r="AK20" s="6">
        <f t="shared" si="4"/>
        <v>14902</v>
      </c>
      <c r="AL20" s="6"/>
      <c r="AM20" s="16"/>
      <c r="AN20" s="9">
        <f t="shared" si="10"/>
        <v>5</v>
      </c>
      <c r="AO20" s="9" t="s">
        <v>61</v>
      </c>
      <c r="AR20" s="2"/>
      <c r="AS20" s="2"/>
    </row>
    <row r="21" spans="2:46" x14ac:dyDescent="0.35">
      <c r="B21" s="21"/>
      <c r="C21" s="21"/>
      <c r="L21" t="s">
        <v>21</v>
      </c>
      <c r="M21" t="s">
        <v>41</v>
      </c>
      <c r="N21" t="s">
        <v>42</v>
      </c>
      <c r="O21" t="s">
        <v>43</v>
      </c>
      <c r="P21" t="s">
        <v>44</v>
      </c>
      <c r="Q21" t="s">
        <v>45</v>
      </c>
      <c r="R21" t="s">
        <v>46</v>
      </c>
      <c r="S21" t="s">
        <v>22</v>
      </c>
      <c r="V21" s="1"/>
      <c r="X21">
        <v>8</v>
      </c>
      <c r="Y21" s="10">
        <f t="shared" si="0"/>
        <v>2.8829787234042552</v>
      </c>
      <c r="Z21" s="6">
        <f t="shared" si="1"/>
        <v>4768</v>
      </c>
      <c r="AA21" s="6">
        <f t="shared" si="5"/>
        <v>100</v>
      </c>
      <c r="AB21" s="6">
        <f t="shared" si="6"/>
        <v>10</v>
      </c>
      <c r="AC21" s="6">
        <f t="shared" si="2"/>
        <v>57.5</v>
      </c>
      <c r="AD21" s="6">
        <f t="shared" si="7"/>
        <v>6</v>
      </c>
      <c r="AE21">
        <f t="shared" si="8"/>
        <v>3</v>
      </c>
      <c r="AF21">
        <f t="shared" si="9"/>
        <v>62.5</v>
      </c>
      <c r="AH21" s="24"/>
      <c r="AI21" s="16"/>
      <c r="AJ21" s="10"/>
      <c r="AK21" s="6"/>
      <c r="AL21" s="6"/>
      <c r="AM21" s="16"/>
      <c r="AN21" s="2"/>
    </row>
    <row r="22" spans="2:46" x14ac:dyDescent="0.35">
      <c r="L22">
        <v>-50</v>
      </c>
      <c r="M22" s="4">
        <f t="shared" ref="M22:M40" si="12">L22*$H$7</f>
        <v>-0.15</v>
      </c>
      <c r="N22" s="4">
        <f t="shared" ref="N22:N40" si="13">M22*$H$8</f>
        <v>-2.3936170212765959</v>
      </c>
      <c r="O22" s="10">
        <f t="shared" ref="O22:O40" si="14">N22+$H$9</f>
        <v>0.10638297872340408</v>
      </c>
      <c r="P22">
        <f>TRUNC(O22*2^15/$C$2)</f>
        <v>697</v>
      </c>
      <c r="Q22">
        <f>P22-$H$12</f>
        <v>-15687</v>
      </c>
      <c r="R22">
        <f>TRUNC(Q22*$H$13)</f>
        <v>-29805</v>
      </c>
      <c r="S22">
        <f>TRUNC(Q22*$H$14*2^-$H$15)</f>
        <v>-29804</v>
      </c>
      <c r="V22" s="1"/>
      <c r="X22">
        <v>9</v>
      </c>
      <c r="Y22" s="10">
        <f t="shared" si="0"/>
        <v>2.9308510638297873</v>
      </c>
      <c r="Z22" s="6">
        <f t="shared" si="1"/>
        <v>5364</v>
      </c>
      <c r="AA22" s="6">
        <f t="shared" si="5"/>
        <v>100</v>
      </c>
      <c r="AB22" s="6">
        <f t="shared" si="6"/>
        <v>10</v>
      </c>
      <c r="AC22" s="6">
        <f t="shared" si="2"/>
        <v>55</v>
      </c>
      <c r="AD22" s="6">
        <f t="shared" si="7"/>
        <v>5</v>
      </c>
      <c r="AE22">
        <f t="shared" si="8"/>
        <v>3</v>
      </c>
      <c r="AF22">
        <f t="shared" si="9"/>
        <v>52.083333333333336</v>
      </c>
      <c r="AJ22" s="10"/>
      <c r="AK22" s="6"/>
      <c r="AL22" s="6"/>
      <c r="AM22" s="6"/>
    </row>
    <row r="23" spans="2:46" x14ac:dyDescent="0.35">
      <c r="L23">
        <v>-40</v>
      </c>
      <c r="M23" s="4">
        <f t="shared" si="12"/>
        <v>-0.12</v>
      </c>
      <c r="N23" s="4">
        <f t="shared" si="13"/>
        <v>-1.9148936170212767</v>
      </c>
      <c r="O23" s="10">
        <f t="shared" si="14"/>
        <v>0.58510638297872331</v>
      </c>
      <c r="P23">
        <f>TRUNC(O23*2^15/$C$2)</f>
        <v>3834</v>
      </c>
      <c r="Q23">
        <f>P23-$H$12</f>
        <v>-12550</v>
      </c>
      <c r="R23">
        <f>TRUNC(Q23*$H$13)</f>
        <v>-23845</v>
      </c>
      <c r="S23">
        <f>TRUNC(Q23*$H$14*2^-$H$15)</f>
        <v>-23844</v>
      </c>
      <c r="V23" s="1"/>
      <c r="X23">
        <v>10</v>
      </c>
      <c r="Y23" s="10">
        <f t="shared" si="0"/>
        <v>2.978723404255319</v>
      </c>
      <c r="Z23" s="6">
        <f t="shared" si="1"/>
        <v>5960</v>
      </c>
      <c r="AA23" s="6">
        <f t="shared" si="5"/>
        <v>60</v>
      </c>
      <c r="AB23" s="6">
        <f t="shared" si="6"/>
        <v>6</v>
      </c>
      <c r="AC23" s="6">
        <f t="shared" si="2"/>
        <v>0</v>
      </c>
      <c r="AD23" s="6">
        <f t="shared" si="7"/>
        <v>5</v>
      </c>
      <c r="AE23">
        <f t="shared" si="8"/>
        <v>3</v>
      </c>
      <c r="AF23">
        <f t="shared" si="9"/>
        <v>52.083333333333336</v>
      </c>
    </row>
    <row r="24" spans="2:46" x14ac:dyDescent="0.35">
      <c r="L24">
        <v>-30</v>
      </c>
      <c r="M24" s="4">
        <f t="shared" si="12"/>
        <v>-0.09</v>
      </c>
      <c r="N24" s="4">
        <f t="shared" si="13"/>
        <v>-1.4361702127659575</v>
      </c>
      <c r="O24" s="10">
        <f t="shared" si="14"/>
        <v>1.0638297872340425</v>
      </c>
      <c r="P24">
        <f>TRUNC(O24*2^15/$C$2)</f>
        <v>6971</v>
      </c>
      <c r="Q24">
        <f>P24-$H$12</f>
        <v>-9413</v>
      </c>
      <c r="R24">
        <f>TRUNC(Q24*$H$13)</f>
        <v>-17884</v>
      </c>
      <c r="S24">
        <f>TRUNC(Q24*$H$14*2^-$H$15)</f>
        <v>-17884</v>
      </c>
      <c r="V24" s="1"/>
      <c r="X24">
        <v>11</v>
      </c>
      <c r="Y24" s="10">
        <f t="shared" si="0"/>
        <v>3.0265957446808511</v>
      </c>
      <c r="Z24" s="6">
        <f t="shared" si="1"/>
        <v>6556</v>
      </c>
      <c r="AA24" s="6">
        <f t="shared" si="5"/>
        <v>60</v>
      </c>
      <c r="AB24" s="6">
        <f t="shared" si="6"/>
        <v>6</v>
      </c>
      <c r="AC24" s="6">
        <f t="shared" si="2"/>
        <v>0</v>
      </c>
      <c r="AD24" s="6">
        <f t="shared" si="7"/>
        <v>5</v>
      </c>
      <c r="AE24">
        <f t="shared" si="8"/>
        <v>3</v>
      </c>
      <c r="AF24">
        <f t="shared" si="9"/>
        <v>52.083333333333336</v>
      </c>
    </row>
    <row r="25" spans="2:46" x14ac:dyDescent="0.35">
      <c r="L25">
        <v>-20</v>
      </c>
      <c r="M25" s="4">
        <f t="shared" si="12"/>
        <v>-0.06</v>
      </c>
      <c r="N25" s="4">
        <f t="shared" si="13"/>
        <v>-0.95744680851063835</v>
      </c>
      <c r="O25" s="10">
        <f t="shared" si="14"/>
        <v>1.5425531914893615</v>
      </c>
      <c r="P25">
        <f t="shared" ref="P25:P40" si="15">TRUNC(O25*2^15/$C$2)</f>
        <v>10109</v>
      </c>
      <c r="Q25">
        <f t="shared" ref="Q25:Q40" si="16">P25-$H$12</f>
        <v>-6275</v>
      </c>
      <c r="R25">
        <f t="shared" ref="R25:R40" si="17">TRUNC(Q25*$H$13)</f>
        <v>-11922</v>
      </c>
      <c r="S25">
        <f t="shared" ref="S25:S40" si="18">TRUNC(Q25*$H$14*2^-$H$15)</f>
        <v>-11922</v>
      </c>
      <c r="V25" s="1"/>
      <c r="X25">
        <v>12</v>
      </c>
      <c r="Y25" s="10">
        <f t="shared" si="0"/>
        <v>3.0744680851063828</v>
      </c>
      <c r="Z25" s="6">
        <f t="shared" si="1"/>
        <v>7153</v>
      </c>
      <c r="AA25" s="6">
        <f t="shared" si="5"/>
        <v>60</v>
      </c>
      <c r="AB25" s="6">
        <f t="shared" si="6"/>
        <v>6</v>
      </c>
      <c r="AC25" s="6">
        <f t="shared" si="2"/>
        <v>0</v>
      </c>
      <c r="AD25" s="6">
        <f t="shared" si="7"/>
        <v>5</v>
      </c>
      <c r="AE25">
        <f t="shared" si="8"/>
        <v>3</v>
      </c>
      <c r="AF25">
        <f t="shared" si="9"/>
        <v>52.083333333333336</v>
      </c>
    </row>
    <row r="26" spans="2:46" x14ac:dyDescent="0.35">
      <c r="L26">
        <v>-10</v>
      </c>
      <c r="M26" s="4">
        <f t="shared" si="12"/>
        <v>-0.03</v>
      </c>
      <c r="N26" s="4">
        <f t="shared" si="13"/>
        <v>-0.47872340425531917</v>
      </c>
      <c r="O26" s="10">
        <f t="shared" si="14"/>
        <v>2.021276595744681</v>
      </c>
      <c r="P26">
        <f t="shared" si="15"/>
        <v>13246</v>
      </c>
      <c r="Q26">
        <f t="shared" si="16"/>
        <v>-3138</v>
      </c>
      <c r="R26">
        <f t="shared" si="17"/>
        <v>-5962</v>
      </c>
      <c r="S26">
        <f t="shared" si="18"/>
        <v>-5962</v>
      </c>
      <c r="V26" s="1"/>
      <c r="X26">
        <v>13</v>
      </c>
      <c r="Y26" s="10">
        <f t="shared" si="0"/>
        <v>3.1223404255319149</v>
      </c>
      <c r="Z26" s="6">
        <f t="shared" si="1"/>
        <v>7749</v>
      </c>
      <c r="AA26" s="6">
        <f t="shared" si="5"/>
        <v>60</v>
      </c>
      <c r="AB26" s="6">
        <f t="shared" si="6"/>
        <v>6</v>
      </c>
      <c r="AC26" s="6">
        <f t="shared" si="2"/>
        <v>0</v>
      </c>
      <c r="AD26" s="6">
        <f t="shared" si="7"/>
        <v>5</v>
      </c>
      <c r="AE26">
        <f t="shared" si="8"/>
        <v>3</v>
      </c>
      <c r="AF26">
        <f t="shared" si="9"/>
        <v>52.083333333333336</v>
      </c>
    </row>
    <row r="27" spans="2:46" x14ac:dyDescent="0.35">
      <c r="L27">
        <v>-5</v>
      </c>
      <c r="M27" s="4">
        <f t="shared" si="12"/>
        <v>-1.4999999999999999E-2</v>
      </c>
      <c r="N27" s="4">
        <f t="shared" si="13"/>
        <v>-0.23936170212765959</v>
      </c>
      <c r="O27" s="10">
        <f t="shared" si="14"/>
        <v>2.2606382978723403</v>
      </c>
      <c r="P27">
        <f t="shared" si="15"/>
        <v>14815</v>
      </c>
      <c r="Q27">
        <f t="shared" si="16"/>
        <v>-1569</v>
      </c>
      <c r="R27">
        <f t="shared" si="17"/>
        <v>-2981</v>
      </c>
      <c r="S27">
        <f t="shared" si="18"/>
        <v>-2981</v>
      </c>
      <c r="V27" s="1"/>
      <c r="X27">
        <v>14</v>
      </c>
      <c r="Y27" s="10">
        <f t="shared" si="0"/>
        <v>3.1702127659574471</v>
      </c>
      <c r="Z27" s="6">
        <f t="shared" si="1"/>
        <v>8345</v>
      </c>
      <c r="AA27" s="6">
        <f t="shared" si="5"/>
        <v>60</v>
      </c>
      <c r="AB27" s="6">
        <f t="shared" si="6"/>
        <v>6</v>
      </c>
      <c r="AC27" s="6">
        <f t="shared" si="2"/>
        <v>0</v>
      </c>
      <c r="AD27" s="6">
        <f t="shared" si="7"/>
        <v>5</v>
      </c>
      <c r="AE27">
        <f t="shared" si="8"/>
        <v>3</v>
      </c>
      <c r="AF27">
        <f t="shared" si="9"/>
        <v>52.083333333333336</v>
      </c>
    </row>
    <row r="28" spans="2:46" x14ac:dyDescent="0.35">
      <c r="L28">
        <v>-3</v>
      </c>
      <c r="M28" s="4">
        <f t="shared" si="12"/>
        <v>-9.0000000000000011E-3</v>
      </c>
      <c r="N28" s="4">
        <f t="shared" si="13"/>
        <v>-0.14361702127659576</v>
      </c>
      <c r="O28" s="10">
        <f t="shared" si="14"/>
        <v>2.3563829787234041</v>
      </c>
      <c r="P28">
        <f t="shared" si="15"/>
        <v>15442</v>
      </c>
      <c r="Q28">
        <f t="shared" si="16"/>
        <v>-942</v>
      </c>
      <c r="R28">
        <f t="shared" si="17"/>
        <v>-1789</v>
      </c>
      <c r="S28">
        <f t="shared" si="18"/>
        <v>-1789</v>
      </c>
      <c r="V28" s="1"/>
      <c r="X28">
        <v>15</v>
      </c>
      <c r="Y28" s="10">
        <f t="shared" si="0"/>
        <v>3.2180851063829787</v>
      </c>
      <c r="Z28" s="6">
        <f t="shared" si="1"/>
        <v>8941</v>
      </c>
      <c r="AA28" s="6">
        <f t="shared" si="5"/>
        <v>60</v>
      </c>
      <c r="AB28" s="6">
        <f t="shared" si="6"/>
        <v>6</v>
      </c>
      <c r="AC28" s="6">
        <f t="shared" si="2"/>
        <v>0</v>
      </c>
      <c r="AD28" s="6">
        <f t="shared" si="7"/>
        <v>5</v>
      </c>
      <c r="AE28">
        <f t="shared" si="8"/>
        <v>3</v>
      </c>
      <c r="AF28">
        <f t="shared" si="9"/>
        <v>52.083333333333336</v>
      </c>
    </row>
    <row r="29" spans="2:46" x14ac:dyDescent="0.35">
      <c r="L29">
        <v>-2</v>
      </c>
      <c r="M29" s="4">
        <f t="shared" si="12"/>
        <v>-6.0000000000000001E-3</v>
      </c>
      <c r="N29" s="4">
        <f t="shared" si="13"/>
        <v>-9.5744680851063829E-2</v>
      </c>
      <c r="O29" s="10">
        <f t="shared" si="14"/>
        <v>2.4042553191489362</v>
      </c>
      <c r="P29">
        <f t="shared" si="15"/>
        <v>15756</v>
      </c>
      <c r="Q29">
        <f t="shared" si="16"/>
        <v>-628</v>
      </c>
      <c r="R29">
        <f t="shared" si="17"/>
        <v>-1193</v>
      </c>
      <c r="S29">
        <f t="shared" si="18"/>
        <v>-1193</v>
      </c>
      <c r="V29" s="1"/>
      <c r="X29">
        <v>16</v>
      </c>
      <c r="Y29" s="10">
        <f t="shared" si="0"/>
        <v>3.2659574468085104</v>
      </c>
      <c r="Z29" s="6">
        <f t="shared" si="1"/>
        <v>9537</v>
      </c>
      <c r="AA29" s="6">
        <f t="shared" si="5"/>
        <v>60</v>
      </c>
      <c r="AB29" s="6">
        <f t="shared" si="6"/>
        <v>6</v>
      </c>
      <c r="AC29" s="6">
        <f t="shared" si="2"/>
        <v>0</v>
      </c>
      <c r="AD29" s="6">
        <f t="shared" si="7"/>
        <v>5</v>
      </c>
      <c r="AE29">
        <f t="shared" si="8"/>
        <v>3</v>
      </c>
      <c r="AF29">
        <f t="shared" si="9"/>
        <v>52.083333333333336</v>
      </c>
    </row>
    <row r="30" spans="2:46" x14ac:dyDescent="0.35">
      <c r="L30">
        <v>-1</v>
      </c>
      <c r="M30" s="4">
        <f t="shared" si="12"/>
        <v>-3.0000000000000001E-3</v>
      </c>
      <c r="N30" s="4">
        <f t="shared" si="13"/>
        <v>-4.7872340425531915E-2</v>
      </c>
      <c r="O30" s="10">
        <f t="shared" si="14"/>
        <v>2.4521276595744679</v>
      </c>
      <c r="P30">
        <f t="shared" si="15"/>
        <v>16070</v>
      </c>
      <c r="Q30">
        <f t="shared" si="16"/>
        <v>-314</v>
      </c>
      <c r="R30">
        <f t="shared" si="17"/>
        <v>-596</v>
      </c>
      <c r="S30">
        <f t="shared" si="18"/>
        <v>-596</v>
      </c>
      <c r="V30" s="1"/>
      <c r="X30">
        <v>17</v>
      </c>
      <c r="Y30" s="10">
        <f t="shared" si="0"/>
        <v>3.3138297872340425</v>
      </c>
      <c r="Z30" s="6">
        <f t="shared" si="1"/>
        <v>10133</v>
      </c>
      <c r="AA30" s="6">
        <f t="shared" si="5"/>
        <v>60</v>
      </c>
      <c r="AB30" s="6">
        <f t="shared" si="6"/>
        <v>6</v>
      </c>
      <c r="AC30" s="6">
        <f t="shared" si="2"/>
        <v>0</v>
      </c>
      <c r="AD30" s="6">
        <f t="shared" si="7"/>
        <v>5</v>
      </c>
      <c r="AE30">
        <f t="shared" si="8"/>
        <v>3</v>
      </c>
      <c r="AF30">
        <f t="shared" si="9"/>
        <v>52.083333333333336</v>
      </c>
    </row>
    <row r="31" spans="2:46" x14ac:dyDescent="0.35">
      <c r="L31">
        <v>0</v>
      </c>
      <c r="M31" s="4">
        <f t="shared" si="12"/>
        <v>0</v>
      </c>
      <c r="N31" s="4">
        <f t="shared" si="13"/>
        <v>0</v>
      </c>
      <c r="O31" s="10">
        <f t="shared" si="14"/>
        <v>2.5</v>
      </c>
      <c r="P31">
        <f t="shared" si="15"/>
        <v>16384</v>
      </c>
      <c r="Q31">
        <f t="shared" si="16"/>
        <v>0</v>
      </c>
      <c r="R31">
        <f t="shared" si="17"/>
        <v>0</v>
      </c>
      <c r="S31">
        <f t="shared" si="18"/>
        <v>0</v>
      </c>
      <c r="V31" s="1"/>
      <c r="X31">
        <v>18</v>
      </c>
      <c r="Y31" s="10">
        <f t="shared" si="0"/>
        <v>3.3617021276595747</v>
      </c>
      <c r="Z31" s="6">
        <f t="shared" si="1"/>
        <v>10729</v>
      </c>
      <c r="AA31" s="6">
        <f t="shared" si="5"/>
        <v>60</v>
      </c>
      <c r="AB31" s="6">
        <f t="shared" si="6"/>
        <v>6</v>
      </c>
      <c r="AC31" s="6">
        <f t="shared" si="2"/>
        <v>0</v>
      </c>
      <c r="AD31" s="6">
        <f t="shared" si="7"/>
        <v>5</v>
      </c>
      <c r="AE31">
        <f t="shared" si="8"/>
        <v>3</v>
      </c>
      <c r="AF31">
        <f t="shared" si="9"/>
        <v>52.083333333333336</v>
      </c>
    </row>
    <row r="32" spans="2:46" x14ac:dyDescent="0.35">
      <c r="L32">
        <v>1</v>
      </c>
      <c r="M32" s="4">
        <f t="shared" si="12"/>
        <v>3.0000000000000001E-3</v>
      </c>
      <c r="N32" s="4">
        <f t="shared" si="13"/>
        <v>4.7872340425531915E-2</v>
      </c>
      <c r="O32" s="10">
        <f t="shared" si="14"/>
        <v>2.5478723404255321</v>
      </c>
      <c r="P32">
        <f t="shared" si="15"/>
        <v>16697</v>
      </c>
      <c r="Q32">
        <f t="shared" si="16"/>
        <v>313</v>
      </c>
      <c r="R32">
        <f t="shared" si="17"/>
        <v>594</v>
      </c>
      <c r="S32">
        <f t="shared" si="18"/>
        <v>594</v>
      </c>
      <c r="V32" s="1"/>
      <c r="X32">
        <v>19</v>
      </c>
      <c r="Y32" s="10">
        <f t="shared" si="0"/>
        <v>3.4095744680851063</v>
      </c>
      <c r="Z32" s="6">
        <f t="shared" si="1"/>
        <v>11325</v>
      </c>
      <c r="AA32" s="6">
        <f t="shared" si="5"/>
        <v>60</v>
      </c>
      <c r="AB32" s="6">
        <f t="shared" si="6"/>
        <v>6</v>
      </c>
      <c r="AC32" s="6">
        <f t="shared" si="2"/>
        <v>0</v>
      </c>
      <c r="AD32" s="6">
        <f t="shared" si="7"/>
        <v>5</v>
      </c>
      <c r="AE32">
        <f t="shared" si="8"/>
        <v>3</v>
      </c>
      <c r="AF32">
        <f t="shared" si="9"/>
        <v>52.083333333333336</v>
      </c>
    </row>
    <row r="33" spans="7:32" x14ac:dyDescent="0.35">
      <c r="L33">
        <v>2</v>
      </c>
      <c r="M33" s="4">
        <f t="shared" si="12"/>
        <v>6.0000000000000001E-3</v>
      </c>
      <c r="N33" s="4">
        <f t="shared" si="13"/>
        <v>9.5744680851063829E-2</v>
      </c>
      <c r="O33" s="10">
        <f t="shared" si="14"/>
        <v>2.5957446808510638</v>
      </c>
      <c r="P33">
        <f t="shared" si="15"/>
        <v>17011</v>
      </c>
      <c r="Q33">
        <f t="shared" si="16"/>
        <v>627</v>
      </c>
      <c r="R33">
        <f t="shared" si="17"/>
        <v>1191</v>
      </c>
      <c r="S33">
        <f t="shared" si="18"/>
        <v>1191</v>
      </c>
      <c r="V33" s="1"/>
      <c r="X33">
        <v>20</v>
      </c>
      <c r="Y33" s="10">
        <f t="shared" si="0"/>
        <v>3.4574468085106385</v>
      </c>
      <c r="Z33" s="6">
        <f t="shared" si="1"/>
        <v>11921</v>
      </c>
      <c r="AA33" s="6">
        <f t="shared" si="5"/>
        <v>60</v>
      </c>
      <c r="AB33" s="6">
        <f t="shared" si="6"/>
        <v>6</v>
      </c>
      <c r="AC33" s="6">
        <f t="shared" si="2"/>
        <v>0</v>
      </c>
      <c r="AD33" s="6">
        <f t="shared" si="7"/>
        <v>5</v>
      </c>
      <c r="AE33">
        <f t="shared" si="8"/>
        <v>3</v>
      </c>
      <c r="AF33">
        <f t="shared" si="9"/>
        <v>52.083333333333336</v>
      </c>
    </row>
    <row r="34" spans="7:32" x14ac:dyDescent="0.35">
      <c r="L34">
        <v>3</v>
      </c>
      <c r="M34" s="4">
        <f t="shared" si="12"/>
        <v>9.0000000000000011E-3</v>
      </c>
      <c r="N34" s="4">
        <f t="shared" si="13"/>
        <v>0.14361702127659576</v>
      </c>
      <c r="O34" s="10">
        <f t="shared" si="14"/>
        <v>2.6436170212765959</v>
      </c>
      <c r="P34">
        <f t="shared" si="15"/>
        <v>17325</v>
      </c>
      <c r="Q34">
        <f t="shared" si="16"/>
        <v>941</v>
      </c>
      <c r="R34">
        <f t="shared" si="17"/>
        <v>1787</v>
      </c>
      <c r="S34">
        <f t="shared" si="18"/>
        <v>1787</v>
      </c>
      <c r="V34" s="1"/>
      <c r="X34">
        <v>21</v>
      </c>
      <c r="Y34" s="10">
        <f t="shared" si="0"/>
        <v>3.5053191489361701</v>
      </c>
      <c r="Z34" s="6">
        <f t="shared" si="1"/>
        <v>12517</v>
      </c>
      <c r="AA34" s="6">
        <f t="shared" si="5"/>
        <v>60</v>
      </c>
      <c r="AB34" s="6">
        <f t="shared" si="6"/>
        <v>6</v>
      </c>
      <c r="AC34" s="6">
        <f t="shared" si="2"/>
        <v>0</v>
      </c>
      <c r="AD34" s="6">
        <f t="shared" si="7"/>
        <v>5</v>
      </c>
      <c r="AE34">
        <f t="shared" si="8"/>
        <v>3</v>
      </c>
      <c r="AF34">
        <f t="shared" si="9"/>
        <v>52.083333333333336</v>
      </c>
    </row>
    <row r="35" spans="7:32" x14ac:dyDescent="0.35">
      <c r="L35">
        <v>5</v>
      </c>
      <c r="M35" s="4">
        <f t="shared" si="12"/>
        <v>1.4999999999999999E-2</v>
      </c>
      <c r="N35" s="4">
        <f t="shared" si="13"/>
        <v>0.23936170212765959</v>
      </c>
      <c r="O35" s="10">
        <f t="shared" si="14"/>
        <v>2.7393617021276597</v>
      </c>
      <c r="P35">
        <f t="shared" si="15"/>
        <v>17952</v>
      </c>
      <c r="Q35">
        <f t="shared" si="16"/>
        <v>1568</v>
      </c>
      <c r="R35">
        <f t="shared" si="17"/>
        <v>2979</v>
      </c>
      <c r="S35">
        <f t="shared" si="18"/>
        <v>2979</v>
      </c>
      <c r="V35" s="1"/>
      <c r="X35">
        <v>22</v>
      </c>
      <c r="Y35" s="10">
        <f t="shared" si="0"/>
        <v>3.5531914893617023</v>
      </c>
      <c r="Z35" s="6">
        <f t="shared" si="1"/>
        <v>13113</v>
      </c>
      <c r="AA35" s="6">
        <f t="shared" si="5"/>
        <v>60</v>
      </c>
      <c r="AB35" s="6">
        <f t="shared" si="6"/>
        <v>6</v>
      </c>
      <c r="AC35" s="6">
        <f t="shared" si="2"/>
        <v>0</v>
      </c>
      <c r="AD35" s="6">
        <f t="shared" si="7"/>
        <v>5</v>
      </c>
      <c r="AE35">
        <f t="shared" si="8"/>
        <v>3</v>
      </c>
      <c r="AF35">
        <f t="shared" si="9"/>
        <v>52.083333333333336</v>
      </c>
    </row>
    <row r="36" spans="7:32" x14ac:dyDescent="0.35">
      <c r="L36">
        <v>10</v>
      </c>
      <c r="M36" s="4">
        <f t="shared" si="12"/>
        <v>0.03</v>
      </c>
      <c r="N36" s="4">
        <f t="shared" si="13"/>
        <v>0.47872340425531917</v>
      </c>
      <c r="O36" s="10">
        <f t="shared" si="14"/>
        <v>2.978723404255319</v>
      </c>
      <c r="P36">
        <f t="shared" si="15"/>
        <v>19521</v>
      </c>
      <c r="Q36">
        <f t="shared" si="16"/>
        <v>3137</v>
      </c>
      <c r="R36">
        <f t="shared" si="17"/>
        <v>5960</v>
      </c>
      <c r="S36">
        <f t="shared" si="18"/>
        <v>5960</v>
      </c>
      <c r="V36" s="1"/>
      <c r="X36">
        <v>23</v>
      </c>
      <c r="Y36" s="10">
        <f t="shared" si="0"/>
        <v>3.6010638297872344</v>
      </c>
      <c r="Z36" s="6">
        <f t="shared" si="1"/>
        <v>13710</v>
      </c>
      <c r="AA36" s="6">
        <f t="shared" si="5"/>
        <v>60</v>
      </c>
      <c r="AB36" s="6">
        <f t="shared" si="6"/>
        <v>6</v>
      </c>
      <c r="AC36" s="6">
        <f t="shared" si="2"/>
        <v>0</v>
      </c>
      <c r="AD36" s="6">
        <f t="shared" si="7"/>
        <v>5</v>
      </c>
      <c r="AE36">
        <f t="shared" si="8"/>
        <v>3</v>
      </c>
      <c r="AF36">
        <f t="shared" si="9"/>
        <v>52.083333333333336</v>
      </c>
    </row>
    <row r="37" spans="7:32" x14ac:dyDescent="0.35">
      <c r="L37">
        <v>20</v>
      </c>
      <c r="M37" s="4">
        <f t="shared" si="12"/>
        <v>0.06</v>
      </c>
      <c r="N37" s="4">
        <f t="shared" si="13"/>
        <v>0.95744680851063835</v>
      </c>
      <c r="O37" s="10">
        <f t="shared" si="14"/>
        <v>3.4574468085106385</v>
      </c>
      <c r="P37">
        <f t="shared" si="15"/>
        <v>22658</v>
      </c>
      <c r="Q37">
        <f t="shared" si="16"/>
        <v>6274</v>
      </c>
      <c r="R37">
        <f t="shared" si="17"/>
        <v>11920</v>
      </c>
      <c r="S37">
        <f t="shared" si="18"/>
        <v>11920</v>
      </c>
      <c r="V37" s="1"/>
      <c r="X37">
        <v>24</v>
      </c>
      <c r="Y37" s="10">
        <f t="shared" si="0"/>
        <v>3.6489361702127661</v>
      </c>
      <c r="Z37" s="6">
        <f t="shared" si="1"/>
        <v>14306</v>
      </c>
      <c r="AA37" s="6">
        <f t="shared" si="5"/>
        <v>60</v>
      </c>
      <c r="AB37" s="6">
        <f t="shared" si="6"/>
        <v>6</v>
      </c>
      <c r="AC37" s="6">
        <f t="shared" si="2"/>
        <v>0</v>
      </c>
      <c r="AD37" s="6">
        <f t="shared" si="7"/>
        <v>5</v>
      </c>
      <c r="AE37">
        <f t="shared" si="8"/>
        <v>3</v>
      </c>
      <c r="AF37">
        <f t="shared" si="9"/>
        <v>52.083333333333336</v>
      </c>
    </row>
    <row r="38" spans="7:32" x14ac:dyDescent="0.35">
      <c r="L38">
        <v>30</v>
      </c>
      <c r="M38" s="4">
        <f t="shared" si="12"/>
        <v>0.09</v>
      </c>
      <c r="N38" s="4">
        <f t="shared" si="13"/>
        <v>1.4361702127659575</v>
      </c>
      <c r="O38" s="10">
        <f t="shared" si="14"/>
        <v>3.9361702127659575</v>
      </c>
      <c r="P38">
        <f t="shared" si="15"/>
        <v>25796</v>
      </c>
      <c r="Q38">
        <f t="shared" si="16"/>
        <v>9412</v>
      </c>
      <c r="R38">
        <f t="shared" si="17"/>
        <v>17882</v>
      </c>
      <c r="S38">
        <f t="shared" si="18"/>
        <v>17882</v>
      </c>
      <c r="V38" s="1"/>
      <c r="X38">
        <v>25</v>
      </c>
      <c r="Y38" s="10">
        <f t="shared" si="0"/>
        <v>3.6968085106382977</v>
      </c>
      <c r="Z38" s="6">
        <f t="shared" si="1"/>
        <v>14902</v>
      </c>
      <c r="AA38" s="6">
        <f t="shared" si="5"/>
        <v>60</v>
      </c>
      <c r="AB38" s="6">
        <f t="shared" si="6"/>
        <v>6</v>
      </c>
      <c r="AC38" s="6">
        <f t="shared" si="2"/>
        <v>0</v>
      </c>
      <c r="AD38" s="6">
        <f t="shared" si="7"/>
        <v>5</v>
      </c>
      <c r="AE38">
        <f t="shared" si="8"/>
        <v>3</v>
      </c>
      <c r="AF38">
        <f t="shared" si="9"/>
        <v>52.083333333333336</v>
      </c>
    </row>
    <row r="39" spans="7:32" x14ac:dyDescent="0.35">
      <c r="G39" s="17" t="s">
        <v>47</v>
      </c>
      <c r="H39" s="17">
        <v>4.7</v>
      </c>
      <c r="L39">
        <v>40</v>
      </c>
      <c r="M39" s="4">
        <f t="shared" si="12"/>
        <v>0.12</v>
      </c>
      <c r="N39" s="4">
        <f t="shared" si="13"/>
        <v>1.9148936170212767</v>
      </c>
      <c r="O39" s="10">
        <f t="shared" si="14"/>
        <v>4.4148936170212769</v>
      </c>
      <c r="P39">
        <f t="shared" si="15"/>
        <v>28933</v>
      </c>
      <c r="Q39">
        <f t="shared" si="16"/>
        <v>12549</v>
      </c>
      <c r="R39">
        <f t="shared" si="17"/>
        <v>23843</v>
      </c>
      <c r="S39">
        <f t="shared" si="18"/>
        <v>23842</v>
      </c>
      <c r="V39" s="1"/>
      <c r="X39">
        <v>26</v>
      </c>
      <c r="Y39" s="10">
        <f t="shared" si="0"/>
        <v>3.7446808510638299</v>
      </c>
      <c r="Z39" s="6">
        <f t="shared" si="1"/>
        <v>15498</v>
      </c>
      <c r="AA39" s="6">
        <f t="shared" si="5"/>
        <v>60</v>
      </c>
      <c r="AB39" s="6">
        <f t="shared" si="6"/>
        <v>6</v>
      </c>
      <c r="AC39" s="6">
        <f t="shared" si="2"/>
        <v>0</v>
      </c>
      <c r="AD39" s="6">
        <f t="shared" si="7"/>
        <v>5</v>
      </c>
      <c r="AE39">
        <f t="shared" si="8"/>
        <v>3</v>
      </c>
      <c r="AF39">
        <f t="shared" si="9"/>
        <v>52.083333333333336</v>
      </c>
    </row>
    <row r="40" spans="7:32" x14ac:dyDescent="0.35">
      <c r="G40" t="s">
        <v>48</v>
      </c>
      <c r="H40" s="5">
        <f>(H39-$H$9)/$H$8/$H$7</f>
        <v>45.955555555555556</v>
      </c>
      <c r="L40">
        <v>50</v>
      </c>
      <c r="M40" s="4">
        <f t="shared" si="12"/>
        <v>0.15</v>
      </c>
      <c r="N40" s="4">
        <f t="shared" si="13"/>
        <v>2.3936170212765959</v>
      </c>
      <c r="O40" s="10">
        <f t="shared" si="14"/>
        <v>4.8936170212765955</v>
      </c>
      <c r="P40">
        <f t="shared" si="15"/>
        <v>32070</v>
      </c>
      <c r="Q40">
        <f t="shared" si="16"/>
        <v>15686</v>
      </c>
      <c r="R40">
        <f t="shared" si="17"/>
        <v>29803</v>
      </c>
      <c r="S40">
        <f t="shared" si="18"/>
        <v>29802</v>
      </c>
      <c r="V40" s="1"/>
      <c r="X40">
        <v>27</v>
      </c>
      <c r="Y40" s="10">
        <f t="shared" si="0"/>
        <v>3.792553191489362</v>
      </c>
      <c r="Z40" s="6">
        <f t="shared" si="1"/>
        <v>16094</v>
      </c>
      <c r="AA40" s="6">
        <f t="shared" si="5"/>
        <v>60</v>
      </c>
      <c r="AB40" s="6">
        <f t="shared" si="6"/>
        <v>6</v>
      </c>
      <c r="AC40" s="6">
        <f t="shared" si="2"/>
        <v>0</v>
      </c>
      <c r="AD40" s="6">
        <f t="shared" si="7"/>
        <v>5</v>
      </c>
      <c r="AE40">
        <f t="shared" si="8"/>
        <v>3</v>
      </c>
      <c r="AF40">
        <f t="shared" si="9"/>
        <v>52.083333333333336</v>
      </c>
    </row>
    <row r="41" spans="7:32" x14ac:dyDescent="0.35">
      <c r="V41" s="1"/>
      <c r="X41">
        <v>28</v>
      </c>
      <c r="Y41" s="10">
        <f t="shared" si="0"/>
        <v>3.8404255319148937</v>
      </c>
      <c r="Z41" s="6">
        <f t="shared" si="1"/>
        <v>16690</v>
      </c>
      <c r="AA41" s="6">
        <f t="shared" si="5"/>
        <v>60</v>
      </c>
      <c r="AB41" s="6">
        <f t="shared" si="6"/>
        <v>6</v>
      </c>
      <c r="AC41" s="6">
        <f t="shared" si="2"/>
        <v>0</v>
      </c>
      <c r="AD41" s="6">
        <f t="shared" si="7"/>
        <v>5</v>
      </c>
      <c r="AE41">
        <f t="shared" si="8"/>
        <v>3</v>
      </c>
      <c r="AF41">
        <f t="shared" si="9"/>
        <v>52.083333333333336</v>
      </c>
    </row>
    <row r="42" spans="7:32" x14ac:dyDescent="0.35">
      <c r="G42" s="17" t="s">
        <v>49</v>
      </c>
      <c r="H42" s="17">
        <f>$C$2-H39</f>
        <v>0.29999999999999982</v>
      </c>
      <c r="V42" s="1"/>
      <c r="X42">
        <v>29</v>
      </c>
      <c r="Y42" s="10">
        <f t="shared" si="0"/>
        <v>3.8882978723404258</v>
      </c>
      <c r="Z42" s="6">
        <f t="shared" si="1"/>
        <v>17286</v>
      </c>
      <c r="AA42" s="6">
        <f t="shared" si="5"/>
        <v>60</v>
      </c>
      <c r="AB42" s="6">
        <f t="shared" si="6"/>
        <v>6</v>
      </c>
      <c r="AC42" s="6">
        <f t="shared" si="2"/>
        <v>0</v>
      </c>
      <c r="AD42" s="6">
        <f t="shared" si="7"/>
        <v>5</v>
      </c>
      <c r="AE42">
        <f t="shared" si="8"/>
        <v>3</v>
      </c>
      <c r="AF42">
        <f t="shared" si="9"/>
        <v>52.083333333333336</v>
      </c>
    </row>
    <row r="43" spans="7:32" x14ac:dyDescent="0.35">
      <c r="G43" t="s">
        <v>50</v>
      </c>
      <c r="H43" s="5">
        <f>(H42-$H$9)/$H$8/$H$7</f>
        <v>-45.955555555555556</v>
      </c>
      <c r="M43" s="4"/>
      <c r="N43" s="6"/>
      <c r="V43" s="1"/>
      <c r="X43">
        <v>30</v>
      </c>
      <c r="Y43" s="10">
        <f t="shared" si="0"/>
        <v>3.9361702127659575</v>
      </c>
      <c r="Z43" s="6">
        <f t="shared" si="1"/>
        <v>17882</v>
      </c>
      <c r="AA43" s="6">
        <f t="shared" si="5"/>
        <v>60</v>
      </c>
      <c r="AB43" s="6">
        <f t="shared" si="6"/>
        <v>6</v>
      </c>
      <c r="AC43" s="6">
        <f t="shared" si="2"/>
        <v>0</v>
      </c>
      <c r="AD43" s="6">
        <f t="shared" si="7"/>
        <v>5</v>
      </c>
      <c r="AE43">
        <f t="shared" si="8"/>
        <v>3</v>
      </c>
      <c r="AF43">
        <f t="shared" si="9"/>
        <v>52.083333333333336</v>
      </c>
    </row>
    <row r="44" spans="7:32" x14ac:dyDescent="0.35">
      <c r="M44" s="4"/>
      <c r="N44" s="6"/>
      <c r="V44" s="1"/>
      <c r="X44">
        <v>31</v>
      </c>
      <c r="Y44" s="10">
        <f t="shared" si="0"/>
        <v>3.9840425531914896</v>
      </c>
      <c r="Z44" s="6">
        <f t="shared" si="1"/>
        <v>18478</v>
      </c>
      <c r="AA44" s="6">
        <f t="shared" si="5"/>
        <v>60</v>
      </c>
      <c r="AB44" s="6">
        <f t="shared" si="6"/>
        <v>6</v>
      </c>
      <c r="AC44" s="6">
        <f t="shared" si="2"/>
        <v>0</v>
      </c>
      <c r="AD44" s="6">
        <f t="shared" si="7"/>
        <v>5</v>
      </c>
      <c r="AE44">
        <f t="shared" si="8"/>
        <v>3</v>
      </c>
      <c r="AF44">
        <f t="shared" si="9"/>
        <v>52.083333333333336</v>
      </c>
    </row>
    <row r="45" spans="7:32" x14ac:dyDescent="0.35">
      <c r="G45" t="s">
        <v>51</v>
      </c>
      <c r="H45">
        <v>45</v>
      </c>
      <c r="M45" s="4"/>
      <c r="N45" s="6"/>
      <c r="V45" s="1"/>
      <c r="X45">
        <v>32</v>
      </c>
      <c r="Y45" s="10">
        <f t="shared" si="0"/>
        <v>4.0319148936170208</v>
      </c>
      <c r="Z45" s="6">
        <f t="shared" si="1"/>
        <v>19074</v>
      </c>
      <c r="AA45" s="6">
        <f t="shared" si="5"/>
        <v>60</v>
      </c>
      <c r="AB45" s="6">
        <f t="shared" si="6"/>
        <v>6</v>
      </c>
      <c r="AC45" s="6">
        <f t="shared" si="2"/>
        <v>0</v>
      </c>
      <c r="AD45" s="6">
        <f t="shared" si="7"/>
        <v>5</v>
      </c>
      <c r="AE45">
        <f t="shared" si="8"/>
        <v>3</v>
      </c>
      <c r="AF45">
        <f t="shared" si="9"/>
        <v>52.083333333333336</v>
      </c>
    </row>
    <row r="46" spans="7:32" x14ac:dyDescent="0.35">
      <c r="G46" t="s">
        <v>52</v>
      </c>
      <c r="H46" s="5">
        <f>H45*$H$7*$H$8+$H$9</f>
        <v>4.6542553191489358</v>
      </c>
      <c r="I46" s="5">
        <f>-H45*$H$7*$H$8+$H$9</f>
        <v>0.3457446808510638</v>
      </c>
      <c r="M46" s="4"/>
      <c r="N46" s="6"/>
      <c r="V46" s="1"/>
      <c r="X46">
        <v>33</v>
      </c>
      <c r="Y46" s="10">
        <f t="shared" si="0"/>
        <v>4.0797872340425538</v>
      </c>
      <c r="Z46" s="6">
        <f t="shared" si="1"/>
        <v>19670</v>
      </c>
      <c r="AA46" s="6">
        <f t="shared" si="5"/>
        <v>60</v>
      </c>
      <c r="AB46" s="6">
        <f t="shared" si="6"/>
        <v>6</v>
      </c>
      <c r="AC46" s="6">
        <f t="shared" si="2"/>
        <v>0</v>
      </c>
      <c r="AD46" s="6">
        <f t="shared" si="7"/>
        <v>5</v>
      </c>
      <c r="AE46">
        <f t="shared" si="8"/>
        <v>3</v>
      </c>
      <c r="AF46">
        <f t="shared" si="9"/>
        <v>52.083333333333336</v>
      </c>
    </row>
    <row r="47" spans="7:32" x14ac:dyDescent="0.35">
      <c r="G47" t="s">
        <v>53</v>
      </c>
      <c r="H47">
        <v>300</v>
      </c>
      <c r="M47" s="4"/>
      <c r="N47" s="6"/>
      <c r="V47" s="1"/>
      <c r="X47">
        <v>34</v>
      </c>
      <c r="Y47" s="10">
        <f t="shared" si="0"/>
        <v>4.1276595744680851</v>
      </c>
      <c r="Z47" s="6">
        <f t="shared" si="1"/>
        <v>20266</v>
      </c>
      <c r="AA47" s="6">
        <f t="shared" si="5"/>
        <v>60</v>
      </c>
      <c r="AB47" s="6">
        <f t="shared" si="6"/>
        <v>6</v>
      </c>
      <c r="AC47" s="6">
        <f t="shared" si="2"/>
        <v>0</v>
      </c>
      <c r="AD47" s="6">
        <f t="shared" si="7"/>
        <v>5</v>
      </c>
      <c r="AE47">
        <f t="shared" si="8"/>
        <v>3</v>
      </c>
      <c r="AF47">
        <f t="shared" si="9"/>
        <v>52.083333333333336</v>
      </c>
    </row>
    <row r="48" spans="7:32" x14ac:dyDescent="0.35">
      <c r="G48" t="s">
        <v>54</v>
      </c>
      <c r="H48">
        <f>96000000/(H47*1000)</f>
        <v>320</v>
      </c>
      <c r="M48" s="4"/>
      <c r="N48" s="6"/>
      <c r="V48" s="1"/>
      <c r="X48">
        <v>35</v>
      </c>
      <c r="Y48" s="10">
        <f t="shared" si="0"/>
        <v>4.1755319148936172</v>
      </c>
      <c r="Z48" s="6">
        <f t="shared" si="1"/>
        <v>20863</v>
      </c>
      <c r="AA48" s="6">
        <f t="shared" si="5"/>
        <v>60</v>
      </c>
      <c r="AB48" s="6">
        <f t="shared" si="6"/>
        <v>6</v>
      </c>
      <c r="AC48" s="6">
        <f t="shared" si="2"/>
        <v>0</v>
      </c>
      <c r="AD48" s="6">
        <f t="shared" si="7"/>
        <v>5</v>
      </c>
      <c r="AE48">
        <f t="shared" si="8"/>
        <v>3</v>
      </c>
      <c r="AF48">
        <f t="shared" si="9"/>
        <v>52.083333333333336</v>
      </c>
    </row>
    <row r="49" spans="2:32" x14ac:dyDescent="0.35">
      <c r="G49" s="13" t="s">
        <v>55</v>
      </c>
      <c r="H49" s="13">
        <f>TRUNC(H48*(1-H46/$C$2))</f>
        <v>22</v>
      </c>
      <c r="I49" s="13">
        <f>TRUNC(H48*H46/$C$2)</f>
        <v>297</v>
      </c>
      <c r="M49" s="4"/>
      <c r="N49" s="6"/>
      <c r="V49" s="1"/>
      <c r="X49">
        <v>36</v>
      </c>
      <c r="Y49" s="10">
        <f t="shared" si="0"/>
        <v>4.2234042553191493</v>
      </c>
      <c r="Z49" s="6">
        <f t="shared" si="1"/>
        <v>21459</v>
      </c>
      <c r="AA49" s="6">
        <f t="shared" si="5"/>
        <v>60</v>
      </c>
      <c r="AB49" s="6">
        <f t="shared" si="6"/>
        <v>6</v>
      </c>
      <c r="AC49" s="6">
        <f t="shared" si="2"/>
        <v>0</v>
      </c>
      <c r="AD49" s="6">
        <f t="shared" si="7"/>
        <v>5</v>
      </c>
      <c r="AE49">
        <f t="shared" si="8"/>
        <v>3</v>
      </c>
      <c r="AF49">
        <f t="shared" si="9"/>
        <v>52.083333333333336</v>
      </c>
    </row>
    <row r="50" spans="2:32" x14ac:dyDescent="0.35">
      <c r="M50" s="4"/>
      <c r="N50" s="6"/>
      <c r="V50" s="1"/>
      <c r="X50">
        <v>37</v>
      </c>
      <c r="Y50" s="10">
        <f t="shared" si="0"/>
        <v>4.2712765957446805</v>
      </c>
      <c r="Z50" s="6">
        <f t="shared" si="1"/>
        <v>22055</v>
      </c>
      <c r="AA50" s="6">
        <f t="shared" si="5"/>
        <v>60</v>
      </c>
      <c r="AB50" s="6">
        <f t="shared" si="6"/>
        <v>6</v>
      </c>
      <c r="AC50" s="6">
        <f t="shared" si="2"/>
        <v>0</v>
      </c>
      <c r="AD50" s="6">
        <f t="shared" si="7"/>
        <v>5</v>
      </c>
      <c r="AE50">
        <f t="shared" si="8"/>
        <v>3</v>
      </c>
      <c r="AF50">
        <f t="shared" si="9"/>
        <v>52.083333333333336</v>
      </c>
    </row>
    <row r="51" spans="2:32" x14ac:dyDescent="0.35">
      <c r="B51" s="21"/>
      <c r="C51" s="21"/>
      <c r="M51" s="4"/>
      <c r="N51" s="6"/>
      <c r="V51" s="1"/>
      <c r="X51">
        <v>38</v>
      </c>
      <c r="Y51" s="10">
        <f t="shared" si="0"/>
        <v>4.3191489361702127</v>
      </c>
      <c r="Z51" s="6">
        <f t="shared" si="1"/>
        <v>22651</v>
      </c>
      <c r="AA51" s="6">
        <f t="shared" si="5"/>
        <v>60</v>
      </c>
      <c r="AB51" s="6">
        <f t="shared" si="6"/>
        <v>6</v>
      </c>
      <c r="AC51" s="6">
        <f t="shared" si="2"/>
        <v>0</v>
      </c>
      <c r="AD51" s="6">
        <f t="shared" si="7"/>
        <v>5</v>
      </c>
      <c r="AE51">
        <f t="shared" si="8"/>
        <v>3</v>
      </c>
      <c r="AF51">
        <f t="shared" si="9"/>
        <v>52.083333333333336</v>
      </c>
    </row>
    <row r="52" spans="2:32" x14ac:dyDescent="0.35">
      <c r="C52" s="5"/>
      <c r="M52" s="4"/>
      <c r="N52" s="6"/>
      <c r="V52" s="1"/>
      <c r="X52">
        <v>39</v>
      </c>
      <c r="Y52" s="10">
        <f t="shared" si="0"/>
        <v>4.3670212765957448</v>
      </c>
      <c r="Z52" s="6">
        <f t="shared" si="1"/>
        <v>23247</v>
      </c>
      <c r="AA52" s="6">
        <f t="shared" si="5"/>
        <v>60</v>
      </c>
      <c r="AB52" s="6">
        <f t="shared" si="6"/>
        <v>6</v>
      </c>
      <c r="AC52" s="6">
        <f t="shared" si="2"/>
        <v>0</v>
      </c>
      <c r="AD52" s="6">
        <f t="shared" si="7"/>
        <v>5</v>
      </c>
      <c r="AE52">
        <f t="shared" si="8"/>
        <v>3</v>
      </c>
      <c r="AF52">
        <f t="shared" si="9"/>
        <v>52.083333333333336</v>
      </c>
    </row>
    <row r="53" spans="2:32" x14ac:dyDescent="0.35">
      <c r="M53" s="4"/>
      <c r="N53" s="6"/>
      <c r="V53" s="1"/>
      <c r="X53">
        <v>40</v>
      </c>
      <c r="Y53" s="10">
        <f t="shared" si="0"/>
        <v>4.4148936170212769</v>
      </c>
      <c r="Z53" s="6">
        <f t="shared" si="1"/>
        <v>23843</v>
      </c>
      <c r="AA53" s="6">
        <f t="shared" si="5"/>
        <v>60</v>
      </c>
      <c r="AB53" s="6">
        <f t="shared" si="6"/>
        <v>6</v>
      </c>
      <c r="AC53" s="6">
        <f t="shared" si="2"/>
        <v>0</v>
      </c>
      <c r="AD53" s="6">
        <f t="shared" si="7"/>
        <v>5</v>
      </c>
      <c r="AE53">
        <f t="shared" si="8"/>
        <v>3</v>
      </c>
      <c r="AF53">
        <f t="shared" si="9"/>
        <v>52.083333333333336</v>
      </c>
    </row>
    <row r="54" spans="2:32" x14ac:dyDescent="0.35">
      <c r="M54" s="4"/>
      <c r="N54" s="6"/>
      <c r="V54" s="1"/>
    </row>
    <row r="55" spans="2:32" x14ac:dyDescent="0.35">
      <c r="M55" s="4"/>
      <c r="N55" s="6"/>
      <c r="V55" s="1"/>
    </row>
    <row r="56" spans="2:32" x14ac:dyDescent="0.35">
      <c r="M56" s="4"/>
      <c r="N56" s="6"/>
      <c r="V56" s="1"/>
    </row>
    <row r="57" spans="2:32" x14ac:dyDescent="0.35">
      <c r="C57" s="10"/>
      <c r="M57" s="4"/>
      <c r="N57" s="6"/>
      <c r="V57" s="1"/>
      <c r="Y57" t="s">
        <v>56</v>
      </c>
      <c r="Z57" t="s">
        <v>57</v>
      </c>
      <c r="AA57" t="s">
        <v>58</v>
      </c>
    </row>
    <row r="58" spans="2:32" x14ac:dyDescent="0.35">
      <c r="M58" s="4"/>
      <c r="N58" s="6"/>
      <c r="V58" s="1"/>
      <c r="Y58">
        <f>AH13</f>
        <v>3</v>
      </c>
      <c r="Z58">
        <f>AH17</f>
        <v>11</v>
      </c>
      <c r="AA58">
        <f>AH15</f>
        <v>7</v>
      </c>
      <c r="AC58">
        <v>0</v>
      </c>
    </row>
    <row r="59" spans="2:32" x14ac:dyDescent="0.35">
      <c r="M59" s="4"/>
      <c r="N59" s="6"/>
      <c r="V59" s="1"/>
      <c r="Y59">
        <f>Y58</f>
        <v>3</v>
      </c>
      <c r="Z59">
        <f>Z58</f>
        <v>11</v>
      </c>
      <c r="AA59">
        <f>AA58</f>
        <v>7</v>
      </c>
      <c r="AC59">
        <v>300</v>
      </c>
    </row>
    <row r="60" spans="2:32" x14ac:dyDescent="0.35">
      <c r="M60" s="4"/>
      <c r="N60" s="6"/>
      <c r="V60" s="1"/>
    </row>
    <row r="61" spans="2:32" x14ac:dyDescent="0.35">
      <c r="C61" s="4"/>
      <c r="M61" s="4"/>
      <c r="N61" s="6"/>
      <c r="V61" s="1"/>
    </row>
    <row r="62" spans="2:32" x14ac:dyDescent="0.35">
      <c r="C62" s="6"/>
      <c r="M62" s="4"/>
      <c r="N62" s="6"/>
      <c r="V62" s="1"/>
    </row>
    <row r="63" spans="2:32" x14ac:dyDescent="0.35">
      <c r="C63" s="6"/>
      <c r="M63" s="4"/>
      <c r="N63" s="6"/>
      <c r="V63" s="1"/>
    </row>
    <row r="64" spans="2:32" x14ac:dyDescent="0.35">
      <c r="M64" s="4"/>
      <c r="N64" s="6"/>
      <c r="V64" s="1"/>
    </row>
    <row r="65" spans="13:22" x14ac:dyDescent="0.35">
      <c r="M65" s="4"/>
      <c r="N65" s="6"/>
      <c r="V65" s="1"/>
    </row>
    <row r="66" spans="13:22" x14ac:dyDescent="0.35">
      <c r="M66" s="4"/>
      <c r="N66" s="6"/>
      <c r="V66" s="1"/>
    </row>
    <row r="67" spans="13:22" x14ac:dyDescent="0.35">
      <c r="M67" s="4"/>
      <c r="N67" s="6"/>
      <c r="V67" s="1"/>
    </row>
    <row r="68" spans="13:22" x14ac:dyDescent="0.35">
      <c r="M68" s="4"/>
      <c r="N68" s="6"/>
      <c r="V68" s="1"/>
    </row>
    <row r="69" spans="13:22" x14ac:dyDescent="0.35">
      <c r="M69" s="4"/>
      <c r="N69" s="6"/>
      <c r="V69" s="1"/>
    </row>
    <row r="70" spans="13:22" x14ac:dyDescent="0.35">
      <c r="M70" s="4"/>
      <c r="N70" s="6"/>
      <c r="V70" s="1"/>
    </row>
    <row r="71" spans="13:22" x14ac:dyDescent="0.35">
      <c r="M71" s="4"/>
      <c r="N71" s="6"/>
      <c r="V71" s="1"/>
    </row>
    <row r="72" spans="13:22" x14ac:dyDescent="0.35">
      <c r="M72" s="4"/>
      <c r="N72" s="6"/>
      <c r="V72" s="1"/>
    </row>
    <row r="73" spans="13:22" x14ac:dyDescent="0.35">
      <c r="M73" s="4"/>
      <c r="N73" s="6"/>
      <c r="V73" s="1"/>
    </row>
    <row r="74" spans="13:22" x14ac:dyDescent="0.35">
      <c r="M74" s="4"/>
      <c r="N74" s="6"/>
      <c r="V74" s="1"/>
    </row>
    <row r="75" spans="13:22" x14ac:dyDescent="0.35">
      <c r="M75" s="4"/>
      <c r="N75" s="6"/>
      <c r="V75" s="1"/>
    </row>
    <row r="76" spans="13:22" x14ac:dyDescent="0.35">
      <c r="M76" s="4"/>
      <c r="N76" s="6"/>
      <c r="V76" s="1"/>
    </row>
    <row r="77" spans="13:22" x14ac:dyDescent="0.35">
      <c r="M77" s="4"/>
      <c r="N77" s="6"/>
      <c r="V77" s="1"/>
    </row>
    <row r="78" spans="13:22" x14ac:dyDescent="0.35">
      <c r="M78" s="4"/>
      <c r="N78" s="6"/>
      <c r="V78" s="1"/>
    </row>
    <row r="79" spans="13:22" x14ac:dyDescent="0.35">
      <c r="M79" s="4"/>
      <c r="N79" s="6"/>
      <c r="V79" s="1"/>
    </row>
    <row r="80" spans="13:22" x14ac:dyDescent="0.35">
      <c r="M80" s="4"/>
      <c r="N80" s="6"/>
      <c r="V80" s="1"/>
    </row>
    <row r="81" spans="13:22" x14ac:dyDescent="0.35">
      <c r="M81" s="4"/>
      <c r="N81" s="6"/>
      <c r="V81" s="1"/>
    </row>
    <row r="82" spans="13:22" x14ac:dyDescent="0.35">
      <c r="V82" s="1"/>
    </row>
    <row r="83" spans="13:22" x14ac:dyDescent="0.35">
      <c r="V83" s="1"/>
    </row>
    <row r="84" spans="13:22" x14ac:dyDescent="0.35">
      <c r="V84" s="1"/>
    </row>
    <row r="85" spans="13:22" x14ac:dyDescent="0.35">
      <c r="V85" s="1"/>
    </row>
    <row r="86" spans="13:22" x14ac:dyDescent="0.35">
      <c r="V86" s="1"/>
    </row>
    <row r="87" spans="13:22" x14ac:dyDescent="0.35">
      <c r="V87" s="1"/>
    </row>
    <row r="88" spans="13:22" x14ac:dyDescent="0.35">
      <c r="V88" s="1"/>
    </row>
    <row r="89" spans="13:22" x14ac:dyDescent="0.35">
      <c r="V89" s="1"/>
    </row>
    <row r="90" spans="13:22" x14ac:dyDescent="0.35">
      <c r="V90" s="1"/>
    </row>
  </sheetData>
  <mergeCells count="2">
    <mergeCell ref="AB7:AH8"/>
    <mergeCell ref="X1:AT4"/>
  </mergeCells>
  <conditionalFormatting sqref="O20">
    <cfRule type="cellIs" dxfId="6" priority="9" operator="equal">
      <formula>0</formula>
    </cfRule>
    <cfRule type="cellIs" dxfId="5" priority="10" operator="equal">
      <formula>1</formula>
    </cfRule>
  </conditionalFormatting>
  <conditionalFormatting sqref="H46">
    <cfRule type="cellIs" dxfId="4" priority="8" operator="greaterThan">
      <formula>5</formula>
    </cfRule>
  </conditionalFormatting>
  <conditionalFormatting sqref="R22:S23">
    <cfRule type="cellIs" dxfId="3" priority="7" operator="lessThan">
      <formula>-(2^15-1)</formula>
    </cfRule>
  </conditionalFormatting>
  <conditionalFormatting sqref="R39:S40">
    <cfRule type="cellIs" dxfId="2" priority="6" operator="greaterThan">
      <formula>(2^15-1)</formula>
    </cfRule>
  </conditionalFormatting>
  <conditionalFormatting sqref="AJ13:AJ22">
    <cfRule type="cellIs" dxfId="1" priority="2" operator="lessThan">
      <formula>-(2^15-1)</formula>
    </cfRule>
  </conditionalFormatting>
  <conditionalFormatting sqref="Y13:Y53">
    <cfRule type="cellIs" dxfId="0" priority="1" operator="lessThan">
      <formula>-(2^15-1)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dead time 65mOhm</vt:lpstr>
    </vt:vector>
  </TitlesOfParts>
  <Company>Infineon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Meneses Herrera David (IFAT PMM ACDC AE)</dc:creator>
  <cp:lastModifiedBy>Vanteri Vinay Kumar Reddy (IFIN CSS SMD CAE 2)</cp:lastModifiedBy>
  <dcterms:created xsi:type="dcterms:W3CDTF">2019-03-05T15:26:52Z</dcterms:created>
  <dcterms:modified xsi:type="dcterms:W3CDTF">2022-06-08T11:06:26Z</dcterms:modified>
</cp:coreProperties>
</file>